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Q\PERMITS\AIRFACS\Alaska Gasline Dev Corp (AK LNG Project)\Liquefaction Plant (1539)\Construction\CPT01\Pre\BACT Calcs\"/>
    </mc:Choice>
  </mc:AlternateContent>
  <xr:revisionPtr revIDLastSave="0" documentId="13_ncr:1_{13FDA8AA-62AE-47B9-807D-4DDDDEA05094}" xr6:coauthVersionLast="44" xr6:coauthVersionMax="44" xr10:uidLastSave="{00000000-0000-0000-0000-000000000000}"/>
  <bookViews>
    <workbookView xWindow="-120" yWindow="-120" windowWidth="20730" windowHeight="11160" activeTab="5" xr2:uid="{00000000-000D-0000-FFFF-FFFF00000000}"/>
  </bookViews>
  <sheets>
    <sheet name="input_optimization" sheetId="1" r:id="rId1"/>
    <sheet name="Output Summary" sheetId="2" state="hidden" r:id="rId2"/>
    <sheet name="SCR Heater" sheetId="3" state="hidden" r:id="rId3"/>
    <sheet name="DLN, ULNB Turbine" sheetId="4" state="hidden" r:id="rId4"/>
    <sheet name="DLN, ULNB Heater" sheetId="5" state="hidden" r:id="rId5"/>
    <sheet name="Turbines CCS" sheetId="6" r:id="rId6"/>
    <sheet name="Ox Cat Heater" sheetId="8" state="hidden" r:id="rId7"/>
    <sheet name="Generic" sheetId="9" state="hidden" r:id="rId8"/>
  </sheets>
  <externalReferences>
    <externalReference r:id="rId9"/>
  </externalReferences>
  <definedNames>
    <definedName name="_xlnm._FilterDatabase" localSheetId="7" hidden="1">Generic!$A$10</definedName>
    <definedName name="A" localSheetId="5">#REF!</definedName>
    <definedName name="A">#REF!</definedName>
    <definedName name="dc" localSheetId="5">#REF!</definedName>
    <definedName name="dc">#REF!</definedName>
    <definedName name="DLE" localSheetId="5">#REF!</definedName>
    <definedName name="DLE">#REF!</definedName>
    <definedName name="DPLeva" localSheetId="5">#REF!</definedName>
    <definedName name="DPLeva">#REF!</definedName>
    <definedName name="eps" localSheetId="5">#REF!</definedName>
    <definedName name="eps">#REF!</definedName>
    <definedName name="EqDiam" localSheetId="5">#REF!</definedName>
    <definedName name="EqDiam">#REF!</definedName>
    <definedName name="f" localSheetId="5">#REF!</definedName>
    <definedName name="f">#REF!</definedName>
    <definedName name="G" localSheetId="5">#REF!</definedName>
    <definedName name="G">#REF!</definedName>
    <definedName name="Gc" localSheetId="5">#REF!</definedName>
    <definedName name="Gc">#REF!</definedName>
    <definedName name="h" localSheetId="5">#REF!</definedName>
    <definedName name="h">#REF!</definedName>
    <definedName name="H2S">[1]Variables!$C$12</definedName>
    <definedName name="HHV">[1]Variables!$C$8</definedName>
    <definedName name="i" localSheetId="5">#REF!</definedName>
    <definedName name="i">#REF!</definedName>
    <definedName name="L" localSheetId="5">#REF!</definedName>
    <definedName name="L">#REF!</definedName>
    <definedName name="n" localSheetId="5">#REF!</definedName>
    <definedName name="n">#REF!</definedName>
    <definedName name="NRe" localSheetId="5">#REF!</definedName>
    <definedName name="NRe">#REF!</definedName>
    <definedName name="PhiS" localSheetId="5">#REF!</definedName>
    <definedName name="PhiS">#REF!</definedName>
    <definedName name="Pollutant" localSheetId="5">#REF!</definedName>
    <definedName name="Pollutant">Generic!$B$10</definedName>
    <definedName name="_xlnm.Print_Area" localSheetId="4">'DLN, ULNB Heater'!$A$56:$K$96</definedName>
    <definedName name="_xlnm.Print_Area" localSheetId="3">'DLN, ULNB Turbine'!$A$56:$K$96</definedName>
    <definedName name="_xlnm.Print_Area" localSheetId="7">Generic!$A$58:$K$111</definedName>
    <definedName name="_xlnm.Print_Area" localSheetId="0">input_optimization!$A$1:$H$77</definedName>
    <definedName name="_xlnm.Print_Area" localSheetId="6">'Ox Cat Heater'!$A$58:$K$111</definedName>
    <definedName name="_xlnm.Print_Area" localSheetId="2">'SCR Heater'!$A$58:$K$111</definedName>
    <definedName name="_xlnm.Print_Area" localSheetId="5">'Turbines CCS'!$A$1:$G$152</definedName>
    <definedName name="_xlnm.Print_Titles" localSheetId="5">'Turbines CCS'!$1:$4</definedName>
    <definedName name="RhoF" localSheetId="5">#REF!</definedName>
    <definedName name="RhoF">#REF!</definedName>
    <definedName name="SCR" localSheetId="5">#REF!</definedName>
    <definedName name="SCR">#REF!</definedName>
    <definedName name="Shape" localSheetId="5">#REF!</definedName>
    <definedName name="Shape">#REF!</definedName>
    <definedName name="StateofFlowTable" localSheetId="5">#REF!</definedName>
    <definedName name="StateofFlowTable">#REF!</definedName>
    <definedName name="V" localSheetId="5">#REF!</definedName>
    <definedName name="V">#REF!</definedName>
    <definedName name="Visc" localSheetId="5">#REF!</definedName>
    <definedName name="Visc">#REF!</definedName>
    <definedName name="Z_9BB43D49_5D78_4E4A_AB52_EDF70C494511_.wvu.Cols" localSheetId="4" hidden="1">'DLN, ULNB Heater'!$G:$K</definedName>
    <definedName name="Z_9BB43D49_5D78_4E4A_AB52_EDF70C494511_.wvu.Cols" localSheetId="3" hidden="1">'DLN, ULNB Turbine'!$G:$K</definedName>
    <definedName name="Z_9BB43D49_5D78_4E4A_AB52_EDF70C494511_.wvu.Cols" localSheetId="7" hidden="1">Generic!$G:$K</definedName>
    <definedName name="Z_9BB43D49_5D78_4E4A_AB52_EDF70C494511_.wvu.Cols" localSheetId="6" hidden="1">'Ox Cat Heater'!$G:$K</definedName>
    <definedName name="Z_9BB43D49_5D78_4E4A_AB52_EDF70C494511_.wvu.Cols" localSheetId="2" hidden="1">'SCR Heater'!$G:$K</definedName>
    <definedName name="Z_9BB43D49_5D78_4E4A_AB52_EDF70C494511_.wvu.Cols" localSheetId="5" hidden="1">'Turbines CCS'!$I:$M</definedName>
    <definedName name="Z_9BB43D49_5D78_4E4A_AB52_EDF70C494511_.wvu.FilterData" localSheetId="7" hidden="1">Generic!$A$10</definedName>
    <definedName name="Z_9BB43D49_5D78_4E4A_AB52_EDF70C494511_.wvu.PrintArea" localSheetId="4" hidden="1">'DLN, ULNB Heater'!$A$56:$K$96</definedName>
    <definedName name="Z_9BB43D49_5D78_4E4A_AB52_EDF70C494511_.wvu.PrintArea" localSheetId="3" hidden="1">'DLN, ULNB Turbine'!$A$56:$K$96</definedName>
    <definedName name="Z_9BB43D49_5D78_4E4A_AB52_EDF70C494511_.wvu.PrintArea" localSheetId="7" hidden="1">Generic!$A$58:$K$111</definedName>
    <definedName name="Z_9BB43D49_5D78_4E4A_AB52_EDF70C494511_.wvu.PrintArea" localSheetId="0" hidden="1">input_optimization!$A$1:$H$77</definedName>
    <definedName name="Z_9BB43D49_5D78_4E4A_AB52_EDF70C494511_.wvu.PrintArea" localSheetId="6" hidden="1">'Ox Cat Heater'!$A$58:$K$111</definedName>
    <definedName name="Z_9BB43D49_5D78_4E4A_AB52_EDF70C494511_.wvu.PrintArea" localSheetId="2" hidden="1">'SCR Heater'!$A$58:$K$111</definedName>
    <definedName name="Z_9BB43D49_5D78_4E4A_AB52_EDF70C494511_.wvu.PrintArea" localSheetId="5" hidden="1">'Turbines CCS'!$A$1:$G$152</definedName>
    <definedName name="Z_9BB43D49_5D78_4E4A_AB52_EDF70C494511_.wvu.PrintTitles" localSheetId="5" hidden="1">'Turbines CCS'!$1:$4</definedName>
    <definedName name="Z_9BB43D49_5D78_4E4A_AB52_EDF70C494511_.wvu.Rows" localSheetId="4" hidden="1">'DLN, ULNB Heater'!$64:$64,'DLN, ULNB Heater'!$73:$77</definedName>
    <definedName name="Z_9BB43D49_5D78_4E4A_AB52_EDF70C494511_.wvu.Rows" localSheetId="3" hidden="1">'DLN, ULNB Turbine'!$64:$64,'DLN, ULNB Turbine'!$72:$76</definedName>
    <definedName name="Z_9BB43D49_5D78_4E4A_AB52_EDF70C494511_.wvu.Rows" localSheetId="5" hidden="1">'Turbines CCS'!$81:$84</definedName>
  </definedNames>
  <calcPr calcId="191029"/>
  <customWorkbookViews>
    <customWorkbookView name="Chelsea Vanzant - Personal View" guid="{9BB43D49-5D78-4E4A-AB52-EDF70C494511}" mergeInterval="0" personalView="1" maximized="1" xWindow="1912" yWindow="-8" windowWidth="1936" windowHeight="1056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8" i="6" l="1"/>
  <c r="B76" i="6" l="1"/>
  <c r="C47" i="6"/>
  <c r="J47" i="6"/>
  <c r="D15" i="2" l="1"/>
  <c r="D16" i="2"/>
  <c r="B15" i="2" l="1"/>
  <c r="B16" i="2" l="1"/>
  <c r="C16" i="2" l="1"/>
  <c r="E16" i="2" l="1"/>
  <c r="C15" i="2" l="1"/>
  <c r="E15" i="2" l="1"/>
  <c r="C11" i="1"/>
  <c r="C74" i="1" l="1"/>
  <c r="C46" i="1" l="1"/>
  <c r="F69" i="1"/>
  <c r="C69" i="1"/>
  <c r="C22" i="1" l="1"/>
  <c r="C23" i="1" s="1"/>
  <c r="F30" i="1"/>
  <c r="C30" i="1" l="1"/>
  <c r="C31" i="1" s="1"/>
  <c r="F31" i="1"/>
  <c r="F19" i="1"/>
  <c r="F15" i="1"/>
  <c r="F11" i="1"/>
  <c r="C15" i="1"/>
  <c r="C19" i="1"/>
  <c r="C77" i="1" l="1"/>
  <c r="F56" i="1"/>
  <c r="C57" i="1"/>
  <c r="C56" i="1"/>
  <c r="B141" i="6" l="1"/>
  <c r="B134" i="6"/>
  <c r="F22" i="1"/>
  <c r="F23" i="1" s="1"/>
  <c r="C26" i="1"/>
  <c r="C27" i="1" s="1"/>
  <c r="F26" i="1" l="1"/>
  <c r="F27" i="1" s="1"/>
  <c r="C52" i="1"/>
  <c r="B123" i="6" s="1"/>
  <c r="C49" i="1"/>
  <c r="B77" i="6" l="1"/>
  <c r="L149" i="6"/>
  <c r="J149" i="6"/>
  <c r="L148" i="6"/>
  <c r="L147" i="6"/>
  <c r="L143" i="6"/>
  <c r="L142" i="6"/>
  <c r="L141" i="6"/>
  <c r="L140" i="6"/>
  <c r="J140" i="6"/>
  <c r="I142" i="6" s="1"/>
  <c r="A142" i="6" s="1"/>
  <c r="A140" i="6"/>
  <c r="K138" i="6"/>
  <c r="L136" i="6"/>
  <c r="J136" i="6"/>
  <c r="L135" i="6"/>
  <c r="L134" i="6"/>
  <c r="K134" i="6"/>
  <c r="J134" i="6"/>
  <c r="J130" i="6"/>
  <c r="A130" i="6"/>
  <c r="L128" i="6"/>
  <c r="L127" i="6"/>
  <c r="J127" i="6"/>
  <c r="L126" i="6"/>
  <c r="J126" i="6"/>
  <c r="L125" i="6"/>
  <c r="J125" i="6"/>
  <c r="K123" i="6"/>
  <c r="J123" i="6"/>
  <c r="B128" i="6" s="1"/>
  <c r="J119" i="6"/>
  <c r="A119" i="6"/>
  <c r="J115" i="6"/>
  <c r="I101" i="6" s="1"/>
  <c r="J98" i="6" s="1"/>
  <c r="A115" i="6"/>
  <c r="J114" i="6"/>
  <c r="I104" i="6" s="1"/>
  <c r="A114" i="6"/>
  <c r="L110" i="6"/>
  <c r="L109" i="6"/>
  <c r="L108" i="6"/>
  <c r="I108" i="6"/>
  <c r="I103" i="6"/>
  <c r="L101" i="6"/>
  <c r="L100" i="6"/>
  <c r="L99" i="6"/>
  <c r="L98" i="6"/>
  <c r="I98" i="6"/>
  <c r="J94" i="6"/>
  <c r="L105" i="6" s="1"/>
  <c r="L93" i="6"/>
  <c r="J93" i="6"/>
  <c r="L81" i="6"/>
  <c r="J67" i="6"/>
  <c r="J66" i="6"/>
  <c r="E62" i="6"/>
  <c r="E61" i="6"/>
  <c r="E60" i="6"/>
  <c r="E59" i="6"/>
  <c r="L54" i="6"/>
  <c r="J54" i="6"/>
  <c r="L53" i="6"/>
  <c r="J53" i="6"/>
  <c r="E52" i="6"/>
  <c r="E47" i="6"/>
  <c r="L45" i="6"/>
  <c r="J45" i="6"/>
  <c r="C46" i="6" s="1"/>
  <c r="J46" i="6" s="1"/>
  <c r="E39" i="6"/>
  <c r="E38" i="6"/>
  <c r="E34" i="6"/>
  <c r="E33" i="6"/>
  <c r="E32" i="6"/>
  <c r="E31" i="6"/>
  <c r="E30" i="6"/>
  <c r="E24" i="6"/>
  <c r="E23" i="6"/>
  <c r="E22" i="6"/>
  <c r="E21" i="6"/>
  <c r="E20" i="6"/>
  <c r="E19" i="6"/>
  <c r="E18" i="6"/>
  <c r="E14" i="6"/>
  <c r="E13" i="6"/>
  <c r="L12" i="6"/>
  <c r="I109" i="6" l="1"/>
  <c r="C50" i="6"/>
  <c r="J50" i="6" s="1"/>
  <c r="I100" i="6"/>
  <c r="I105" i="6"/>
  <c r="I106" i="6"/>
  <c r="J103" i="6" s="1"/>
  <c r="I110" i="6"/>
  <c r="J108" i="6" s="1"/>
  <c r="I123" i="6" s="1"/>
  <c r="C75" i="6"/>
  <c r="L106" i="6"/>
  <c r="L104" i="6"/>
  <c r="D4" i="2"/>
  <c r="B24" i="6"/>
  <c r="L24" i="6" s="1"/>
  <c r="D5" i="2"/>
  <c r="D9" i="2"/>
  <c r="J12" i="6"/>
  <c r="J142" i="6"/>
  <c r="J148" i="6"/>
  <c r="J11" i="6"/>
  <c r="C14" i="6"/>
  <c r="J14" i="6" s="1"/>
  <c r="I99" i="6"/>
  <c r="L103" i="6"/>
  <c r="J147" i="6"/>
  <c r="L11" i="6"/>
  <c r="C13" i="6"/>
  <c r="J13" i="6" s="1"/>
  <c r="D3" i="2"/>
  <c r="C76" i="6" l="1"/>
  <c r="I141" i="6"/>
  <c r="J141" i="6" s="1"/>
  <c r="I138" i="6" s="1"/>
  <c r="J138" i="6" s="1"/>
  <c r="J24" i="6"/>
  <c r="D11" i="2"/>
  <c r="D10" i="2"/>
  <c r="I150" i="6"/>
  <c r="J150" i="6" s="1"/>
  <c r="C51" i="6" s="1"/>
  <c r="J51" i="6" s="1"/>
  <c r="C52" i="6" s="1"/>
  <c r="J52" i="6" s="1"/>
  <c r="C15" i="6"/>
  <c r="J15" i="6" s="1"/>
  <c r="J16" i="6" s="1"/>
  <c r="C49" i="6" l="1"/>
  <c r="J49" i="6" s="1"/>
  <c r="B143" i="6"/>
  <c r="J135" i="6"/>
  <c r="C40" i="6" s="1"/>
  <c r="J40" i="6" s="1"/>
  <c r="B150" i="6"/>
  <c r="B16" i="6"/>
  <c r="C34" i="6" l="1"/>
  <c r="J34" i="6" s="1"/>
  <c r="C30" i="6"/>
  <c r="J30" i="6" s="1"/>
  <c r="C20" i="6"/>
  <c r="J20" i="6" s="1"/>
  <c r="C22" i="6"/>
  <c r="J22" i="6" s="1"/>
  <c r="C19" i="6"/>
  <c r="J19" i="6" s="1"/>
  <c r="C31" i="6"/>
  <c r="J31" i="6" s="1"/>
  <c r="C21" i="6"/>
  <c r="J21" i="6" s="1"/>
  <c r="C32" i="6"/>
  <c r="J32" i="6" s="1"/>
  <c r="C18" i="6"/>
  <c r="J18" i="6" s="1"/>
  <c r="C33" i="6"/>
  <c r="J33" i="6" s="1"/>
  <c r="C23" i="6"/>
  <c r="J23" i="6" s="1"/>
  <c r="J35" i="6" l="1"/>
  <c r="B35" i="6" s="1"/>
  <c r="J25" i="6"/>
  <c r="B25" i="6" l="1"/>
  <c r="B26" i="6" s="1"/>
  <c r="J26" i="6"/>
  <c r="B11" i="2" l="1"/>
  <c r="B9" i="2"/>
  <c r="C38" i="6"/>
  <c r="J38" i="6" s="1"/>
  <c r="B10" i="2" l="1"/>
  <c r="C39" i="6"/>
  <c r="J39" i="6" s="1"/>
  <c r="J41" i="6" s="1"/>
  <c r="B5" i="2" s="1"/>
  <c r="B4" i="2"/>
  <c r="C62" i="6" l="1"/>
  <c r="J62" i="6" s="1"/>
  <c r="C60" i="6"/>
  <c r="J60" i="6" s="1"/>
  <c r="C61" i="6"/>
  <c r="J61" i="6" s="1"/>
  <c r="B69" i="6"/>
  <c r="J69" i="6" s="1"/>
  <c r="B3" i="2"/>
  <c r="C48" i="6" l="1"/>
  <c r="J48" i="6" s="1"/>
  <c r="C59" i="6" l="1"/>
  <c r="J59" i="6" s="1"/>
  <c r="J63" i="6" s="1"/>
  <c r="B63" i="6" s="1"/>
  <c r="J55" i="6"/>
  <c r="B55" i="6" s="1"/>
  <c r="J71" i="6"/>
  <c r="E11" i="2" l="1"/>
  <c r="C10" i="2"/>
  <c r="B71" i="6"/>
  <c r="C11" i="2"/>
  <c r="C9" i="2"/>
  <c r="C4" i="2"/>
  <c r="C5" i="2" l="1"/>
  <c r="B79" i="6"/>
  <c r="B80" i="6"/>
  <c r="E9" i="2"/>
  <c r="E10" i="2" l="1"/>
  <c r="A84" i="6"/>
  <c r="E5" i="2"/>
  <c r="E4" i="2"/>
  <c r="C3" i="2"/>
  <c r="E3" i="2" l="1"/>
  <c r="A67" i="9" l="1"/>
  <c r="B45" i="9"/>
  <c r="E55" i="9"/>
  <c r="D55" i="9"/>
  <c r="C55" i="9"/>
  <c r="B55" i="9"/>
  <c r="J108" i="9"/>
  <c r="H108" i="9"/>
  <c r="J107" i="9"/>
  <c r="H107" i="9"/>
  <c r="G109" i="9" s="1"/>
  <c r="H109" i="9" s="1"/>
  <c r="H103" i="9"/>
  <c r="A103" i="9"/>
  <c r="J102" i="9"/>
  <c r="I102" i="9"/>
  <c r="H102" i="9"/>
  <c r="H98" i="9"/>
  <c r="C31" i="9" s="1"/>
  <c r="H31" i="9" s="1"/>
  <c r="A98" i="9"/>
  <c r="H94" i="9"/>
  <c r="G88" i="9" s="1"/>
  <c r="H93" i="9"/>
  <c r="A93" i="9" s="1"/>
  <c r="J89" i="9"/>
  <c r="J88" i="9"/>
  <c r="J87" i="9"/>
  <c r="J86" i="9"/>
  <c r="G86" i="9"/>
  <c r="J84" i="9"/>
  <c r="J83" i="9"/>
  <c r="J82" i="9"/>
  <c r="J81" i="9"/>
  <c r="G81" i="9"/>
  <c r="J77" i="9"/>
  <c r="J76" i="9"/>
  <c r="J75" i="9"/>
  <c r="J74" i="9"/>
  <c r="G74" i="9"/>
  <c r="J72" i="9"/>
  <c r="J71" i="9"/>
  <c r="J70" i="9"/>
  <c r="G70" i="9"/>
  <c r="J69" i="9"/>
  <c r="G69" i="9"/>
  <c r="J65" i="9"/>
  <c r="H65" i="9"/>
  <c r="H37" i="9"/>
  <c r="H36" i="9"/>
  <c r="H29" i="9"/>
  <c r="C19" i="9"/>
  <c r="H19" i="9" s="1"/>
  <c r="C18" i="9"/>
  <c r="H18" i="9" s="1"/>
  <c r="C17" i="9"/>
  <c r="H17" i="9" s="1"/>
  <c r="J14" i="9"/>
  <c r="H14" i="9"/>
  <c r="J108" i="8"/>
  <c r="H108" i="8"/>
  <c r="J107" i="8"/>
  <c r="H107" i="8"/>
  <c r="G109" i="8" s="1"/>
  <c r="H109" i="8" s="1"/>
  <c r="H103" i="8"/>
  <c r="A103" i="8"/>
  <c r="J102" i="8"/>
  <c r="I102" i="8"/>
  <c r="H102" i="8"/>
  <c r="H98" i="8"/>
  <c r="A98" i="8"/>
  <c r="H94" i="8"/>
  <c r="G88" i="8" s="1"/>
  <c r="H93" i="8"/>
  <c r="G84" i="8" s="1"/>
  <c r="H81" i="8" s="1"/>
  <c r="G89" i="8" s="1"/>
  <c r="J89" i="8"/>
  <c r="J88" i="8"/>
  <c r="J87" i="8"/>
  <c r="J86" i="8"/>
  <c r="G86" i="8"/>
  <c r="J84" i="8"/>
  <c r="J83" i="8"/>
  <c r="J82" i="8"/>
  <c r="J81" i="8"/>
  <c r="G81" i="8"/>
  <c r="J77" i="8"/>
  <c r="J76" i="8"/>
  <c r="J75" i="8"/>
  <c r="J74" i="8"/>
  <c r="G74" i="8"/>
  <c r="J72" i="8"/>
  <c r="J71" i="8"/>
  <c r="J70" i="8"/>
  <c r="J69" i="8"/>
  <c r="G69" i="8"/>
  <c r="J65" i="8"/>
  <c r="H65" i="8"/>
  <c r="H37" i="8"/>
  <c r="H36" i="8"/>
  <c r="H29" i="8"/>
  <c r="C19" i="8"/>
  <c r="H19" i="8" s="1"/>
  <c r="C18" i="8"/>
  <c r="H18" i="8" s="1"/>
  <c r="C17" i="8"/>
  <c r="H17" i="8" s="1"/>
  <c r="J14" i="8"/>
  <c r="H14" i="8"/>
  <c r="G72" i="9" l="1"/>
  <c r="H69" i="9" s="1"/>
  <c r="G77" i="9" s="1"/>
  <c r="H74" i="9" s="1"/>
  <c r="B47" i="9" s="1"/>
  <c r="C46" i="8"/>
  <c r="G70" i="8"/>
  <c r="B38" i="9"/>
  <c r="G82" i="8"/>
  <c r="C31" i="8"/>
  <c r="H31" i="8" s="1"/>
  <c r="G76" i="8"/>
  <c r="G71" i="8"/>
  <c r="G83" i="9"/>
  <c r="G83" i="8"/>
  <c r="G76" i="9"/>
  <c r="G72" i="8"/>
  <c r="H69" i="8" s="1"/>
  <c r="G77" i="8" s="1"/>
  <c r="G71" i="9"/>
  <c r="A94" i="9"/>
  <c r="H20" i="9"/>
  <c r="B20" i="9" s="1"/>
  <c r="C23" i="9" s="1"/>
  <c r="H23" i="9" s="1"/>
  <c r="G32" i="9"/>
  <c r="C32" i="9" s="1"/>
  <c r="H32" i="9" s="1"/>
  <c r="G87" i="9"/>
  <c r="G82" i="9"/>
  <c r="G84" i="9"/>
  <c r="H81" i="9" s="1"/>
  <c r="G89" i="9" s="1"/>
  <c r="H86" i="9" s="1"/>
  <c r="G75" i="9"/>
  <c r="H20" i="8"/>
  <c r="B20" i="8" s="1"/>
  <c r="C23" i="8" s="1"/>
  <c r="H23" i="8" s="1"/>
  <c r="C24" i="8" s="1"/>
  <c r="H24" i="8" s="1"/>
  <c r="G32" i="8"/>
  <c r="C32" i="8" s="1"/>
  <c r="H32" i="8" s="1"/>
  <c r="G75" i="8"/>
  <c r="A93" i="8"/>
  <c r="B38" i="8"/>
  <c r="A94" i="8"/>
  <c r="G87" i="8"/>
  <c r="H86" i="8"/>
  <c r="C47" i="8" s="1"/>
  <c r="J72" i="3"/>
  <c r="G78" i="5"/>
  <c r="J71" i="5"/>
  <c r="G68" i="5"/>
  <c r="J76" i="4"/>
  <c r="J71" i="4"/>
  <c r="G73" i="4"/>
  <c r="G78" i="4"/>
  <c r="G68" i="4"/>
  <c r="G74" i="3"/>
  <c r="G69" i="3"/>
  <c r="B46" i="9" l="1"/>
  <c r="B48" i="9" s="1"/>
  <c r="B51" i="9" s="1"/>
  <c r="A55" i="9" s="1"/>
  <c r="B46" i="8"/>
  <c r="C24" i="9"/>
  <c r="H24" i="9" s="1"/>
  <c r="H25" i="9" s="1"/>
  <c r="B25" i="9" s="1"/>
  <c r="B26" i="9" s="1"/>
  <c r="H26" i="9" s="1"/>
  <c r="H74" i="8"/>
  <c r="B47" i="8" s="1"/>
  <c r="H25" i="8"/>
  <c r="B25" i="8" s="1"/>
  <c r="C30" i="8" s="1"/>
  <c r="H30" i="8" s="1"/>
  <c r="H33" i="8" s="1"/>
  <c r="B33" i="8" s="1"/>
  <c r="C48" i="8"/>
  <c r="C51" i="8" s="1"/>
  <c r="H94" i="5"/>
  <c r="A94" i="5"/>
  <c r="I93" i="5"/>
  <c r="H93" i="5"/>
  <c r="A93" i="5"/>
  <c r="H89" i="5"/>
  <c r="A89" i="5"/>
  <c r="H85" i="5"/>
  <c r="G76" i="5" s="1"/>
  <c r="H73" i="5" s="1"/>
  <c r="H84" i="5"/>
  <c r="J80" i="5"/>
  <c r="J79" i="5"/>
  <c r="J78" i="5"/>
  <c r="J75" i="5"/>
  <c r="J74" i="5"/>
  <c r="J73" i="5"/>
  <c r="J70" i="5"/>
  <c r="J69" i="5"/>
  <c r="J68" i="5"/>
  <c r="H64" i="5"/>
  <c r="J63" i="5"/>
  <c r="H63" i="5"/>
  <c r="H37" i="5"/>
  <c r="H36" i="5"/>
  <c r="H30" i="5"/>
  <c r="C20" i="5"/>
  <c r="H20" i="5" s="1"/>
  <c r="C19" i="5"/>
  <c r="H19" i="5" s="1"/>
  <c r="C18" i="5"/>
  <c r="H18" i="5" s="1"/>
  <c r="J15" i="5"/>
  <c r="H15" i="5"/>
  <c r="A85" i="5" l="1"/>
  <c r="B48" i="8"/>
  <c r="B51" i="8" s="1"/>
  <c r="A55" i="8" s="1"/>
  <c r="B38" i="5"/>
  <c r="A84" i="5"/>
  <c r="G79" i="5"/>
  <c r="G69" i="5"/>
  <c r="C30" i="9"/>
  <c r="H30" i="9" s="1"/>
  <c r="H33" i="9" s="1"/>
  <c r="B33" i="9" s="1"/>
  <c r="B40" i="9" s="1"/>
  <c r="B50" i="9" s="1"/>
  <c r="C32" i="5"/>
  <c r="H32" i="5" s="1"/>
  <c r="G80" i="5"/>
  <c r="H78" i="5" s="1"/>
  <c r="B46" i="5" s="1"/>
  <c r="G71" i="5"/>
  <c r="H68" i="5" s="1"/>
  <c r="B45" i="5" s="1"/>
  <c r="G70" i="5"/>
  <c r="B26" i="8"/>
  <c r="H26" i="8" s="1"/>
  <c r="H40" i="8" s="1"/>
  <c r="H21" i="5"/>
  <c r="A93" i="4"/>
  <c r="H93" i="4"/>
  <c r="J108" i="3"/>
  <c r="H108" i="3"/>
  <c r="J107" i="3"/>
  <c r="H107" i="3"/>
  <c r="G109" i="3" s="1"/>
  <c r="H109" i="3" s="1"/>
  <c r="J103" i="3"/>
  <c r="J102" i="3"/>
  <c r="J101" i="3"/>
  <c r="J100" i="3"/>
  <c r="H100" i="3"/>
  <c r="G102" i="3" s="1"/>
  <c r="A100" i="3"/>
  <c r="I98" i="3"/>
  <c r="J96" i="3"/>
  <c r="H96" i="3"/>
  <c r="J95" i="3"/>
  <c r="J94" i="3"/>
  <c r="I94" i="3"/>
  <c r="H94" i="3"/>
  <c r="H90" i="3"/>
  <c r="A90" i="3"/>
  <c r="J89" i="3"/>
  <c r="I89" i="3"/>
  <c r="H89" i="3"/>
  <c r="H85" i="3"/>
  <c r="A85" i="3"/>
  <c r="H81" i="3"/>
  <c r="A81" i="3" s="1"/>
  <c r="H80" i="3"/>
  <c r="J76" i="3"/>
  <c r="J75" i="3"/>
  <c r="J74" i="3"/>
  <c r="J71" i="3"/>
  <c r="J70" i="3"/>
  <c r="J69" i="3"/>
  <c r="J65" i="3"/>
  <c r="H65" i="3"/>
  <c r="H38" i="3"/>
  <c r="H37" i="3"/>
  <c r="H29" i="3"/>
  <c r="C18" i="3"/>
  <c r="H18" i="3" s="1"/>
  <c r="C17" i="3"/>
  <c r="H17" i="3" s="1"/>
  <c r="C16" i="3"/>
  <c r="H16" i="3" s="1"/>
  <c r="J13" i="3"/>
  <c r="H13" i="3"/>
  <c r="H94" i="4"/>
  <c r="A94" i="4"/>
  <c r="I93" i="4"/>
  <c r="H89" i="4"/>
  <c r="A89" i="4"/>
  <c r="H85" i="4"/>
  <c r="H84" i="4"/>
  <c r="J80" i="4"/>
  <c r="J79" i="4"/>
  <c r="J78" i="4"/>
  <c r="J75" i="4"/>
  <c r="J74" i="4"/>
  <c r="J73" i="4"/>
  <c r="J70" i="4"/>
  <c r="J69" i="4"/>
  <c r="J68" i="4"/>
  <c r="H64" i="4"/>
  <c r="J63" i="4"/>
  <c r="H63" i="4"/>
  <c r="H37" i="4"/>
  <c r="H36" i="4"/>
  <c r="H30" i="4"/>
  <c r="C20" i="4"/>
  <c r="H20" i="4" s="1"/>
  <c r="C19" i="4"/>
  <c r="H19" i="4" s="1"/>
  <c r="C18" i="4"/>
  <c r="H18" i="4" s="1"/>
  <c r="J15" i="4"/>
  <c r="H15" i="4"/>
  <c r="C32" i="4" l="1"/>
  <c r="H32" i="4" s="1"/>
  <c r="H40" i="9"/>
  <c r="C32" i="3"/>
  <c r="H32" i="3" s="1"/>
  <c r="G72" i="3"/>
  <c r="H69" i="3" s="1"/>
  <c r="G76" i="3"/>
  <c r="H74" i="3" s="1"/>
  <c r="B47" i="3" s="1"/>
  <c r="G71" i="3"/>
  <c r="A84" i="4"/>
  <c r="G79" i="4"/>
  <c r="G69" i="4"/>
  <c r="G74" i="4"/>
  <c r="A80" i="3"/>
  <c r="G75" i="3"/>
  <c r="G70" i="3"/>
  <c r="G75" i="4"/>
  <c r="G71" i="4"/>
  <c r="H68" i="4" s="1"/>
  <c r="B45" i="4" s="1"/>
  <c r="G76" i="4"/>
  <c r="H73" i="4" s="1"/>
  <c r="G80" i="4"/>
  <c r="H78" i="4" s="1"/>
  <c r="B46" i="4" s="1"/>
  <c r="G70" i="4"/>
  <c r="B40" i="8"/>
  <c r="B50" i="8" s="1"/>
  <c r="B47" i="5"/>
  <c r="B21" i="5"/>
  <c r="G33" i="3"/>
  <c r="C33" i="3" s="1"/>
  <c r="H33" i="3" s="1"/>
  <c r="B38" i="4"/>
  <c r="H21" i="4"/>
  <c r="B21" i="4" s="1"/>
  <c r="C24" i="4" s="1"/>
  <c r="H24" i="4" s="1"/>
  <c r="C25" i="4" s="1"/>
  <c r="H25" i="4" s="1"/>
  <c r="B39" i="3"/>
  <c r="H19" i="3"/>
  <c r="B19" i="3" s="1"/>
  <c r="H102" i="3"/>
  <c r="A102" i="3"/>
  <c r="A85" i="4"/>
  <c r="G101" i="3" l="1"/>
  <c r="H101" i="3" s="1"/>
  <c r="G103" i="3" s="1"/>
  <c r="B103" i="3" s="1"/>
  <c r="H103" i="3" s="1"/>
  <c r="C50" i="8"/>
  <c r="C24" i="5"/>
  <c r="H24" i="5" s="1"/>
  <c r="C25" i="5" s="1"/>
  <c r="H25" i="5" s="1"/>
  <c r="B47" i="4"/>
  <c r="H26" i="4"/>
  <c r="B26" i="4" s="1"/>
  <c r="B46" i="3"/>
  <c r="B48" i="3" s="1"/>
  <c r="B51" i="3" s="1"/>
  <c r="A55" i="3" s="1"/>
  <c r="C22" i="3"/>
  <c r="H22" i="3" s="1"/>
  <c r="C23" i="3" s="1"/>
  <c r="H23" i="3" s="1"/>
  <c r="H26" i="5" l="1"/>
  <c r="B26" i="5" s="1"/>
  <c r="B27" i="4"/>
  <c r="H27" i="4" s="1"/>
  <c r="C31" i="4"/>
  <c r="H31" i="4" s="1"/>
  <c r="H98" i="3"/>
  <c r="H95" i="3" s="1"/>
  <c r="C24" i="3" s="1"/>
  <c r="H24" i="3" s="1"/>
  <c r="H25" i="3" s="1"/>
  <c r="B25" i="3" s="1"/>
  <c r="C31" i="3"/>
  <c r="H31" i="3" s="1"/>
  <c r="C31" i="5" l="1"/>
  <c r="H31" i="5" s="1"/>
  <c r="H33" i="5" s="1"/>
  <c r="B33" i="5" s="1"/>
  <c r="B27" i="5"/>
  <c r="H27" i="5" s="1"/>
  <c r="H33" i="4"/>
  <c r="B33" i="4" s="1"/>
  <c r="B40" i="4" s="1"/>
  <c r="B49" i="4" s="1"/>
  <c r="B50" i="4" s="1"/>
  <c r="A54" i="4" s="1"/>
  <c r="C30" i="3"/>
  <c r="H30" i="3" s="1"/>
  <c r="H34" i="3" s="1"/>
  <c r="B34" i="3" s="1"/>
  <c r="B26" i="3"/>
  <c r="H26" i="3" s="1"/>
  <c r="B40" i="5" l="1"/>
  <c r="B49" i="5" s="1"/>
  <c r="B50" i="5" s="1"/>
  <c r="A54" i="5" s="1"/>
  <c r="B41" i="3"/>
  <c r="B50" i="3" s="1"/>
  <c r="H40" i="5"/>
  <c r="H40" i="4"/>
  <c r="H4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tc={38325055-8CA0-4941-8AD9-5C82DEA7AC2B}</author>
    <author>tc={50E6CF5B-F04A-407C-AFF3-282B6873879F}</author>
    <author>Lara Gertler</author>
  </authors>
  <commentList>
    <comment ref="B41" authorId="0" shapeId="0" xr:uid="{38325055-8CA0-4941-8AD9-5C82DEA7AC2B}">
      <text>
        <t>[Threaded comment]
Your version of Excel allows you to read this threaded comment; however, any edits to it will get removed if the file is opened in a newer version of Excel. Learn more: https://go.microsoft.com/fwlink/?linkid=870924
Comment:
    3.6 billion dollar capital investment quote is from Alaska Pipeline Project Gas Treatment Plant: CO2 Capture Study:
G:\AQ\PERMITS\AIRFACS\Alaska Gasline Dev Corp (AK LNG Project)\Gas Treatment Plant (1524)\Construction\CPT01\Ex Parte</t>
      </text>
    </comment>
    <comment ref="B75" authorId="1" shapeId="0" xr:uid="{50E6CF5B-F04A-407C-AFF3-282B6873879F}">
      <text>
        <t>[Threaded comment]
Your version of Excel allows you to read this threaded comment; however, any edits to it will get removed if the file is opened in a newer version of Excel. Learn more: https://go.microsoft.com/fwlink/?linkid=870924
Comment:
    unctonrolled GHG emissions from EUs 1-10 combined. Source- Department's PTE Table</t>
      </text>
    </comment>
    <comment ref="A130" authorId="2" shapeId="0" xr:uid="{00000000-0006-0000-05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Default cost from EIA data, Table 5.6.A Nov 2014 - Retail Price of Electricity to Industrial Customers in Alaska: http://www.eia.gov/electricity/monthly/epm_table_grapher.cfm?t=epmt_5_06_a</t>
        </r>
      </text>
    </comment>
    <comment ref="I130" authorId="2" shapeId="0" xr:uid="{00000000-0006-0000-05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From EIA data, Table 5.6.A Nov 2014 - Retail Price of Electricity to Industrial Customers in Alaska: http://www.eia.gov/electricity/monthly/epm_table_grapher.cfm?t=epmt_5_06_a</t>
        </r>
      </text>
    </comment>
  </commentList>
</comments>
</file>

<file path=xl/sharedStrings.xml><?xml version="1.0" encoding="utf-8"?>
<sst xmlns="http://schemas.openxmlformats.org/spreadsheetml/2006/main" count="1224" uniqueCount="298">
  <si>
    <t>MMBtu/hr</t>
  </si>
  <si>
    <t>lb/hr</t>
  </si>
  <si>
    <t>gal/hr</t>
  </si>
  <si>
    <t>lb/MMBtu</t>
  </si>
  <si>
    <t>Interest Rate</t>
  </si>
  <si>
    <t>Btu/scf</t>
  </si>
  <si>
    <t>$/kWh</t>
  </si>
  <si>
    <t>A</t>
  </si>
  <si>
    <t>Engineering and Home Office Fees</t>
  </si>
  <si>
    <t>Process Contingency</t>
  </si>
  <si>
    <t>Total Indirect Installation Costs</t>
  </si>
  <si>
    <t>B</t>
  </si>
  <si>
    <t>Project Contingency</t>
  </si>
  <si>
    <t>Preproduction Cost</t>
  </si>
  <si>
    <t>Total Capital Investment</t>
  </si>
  <si>
    <t>Maintenance Labor and Materials</t>
  </si>
  <si>
    <t>Catalyst Replacement</t>
  </si>
  <si>
    <t>Total Direct Annual Costs</t>
  </si>
  <si>
    <t>Capital Recovery Factor</t>
  </si>
  <si>
    <t>Indirect Annual Costs</t>
  </si>
  <si>
    <t>IDAC = CRF * TCI</t>
  </si>
  <si>
    <t>Total Annual Costs</t>
  </si>
  <si>
    <t>TAC = DA + IDAC</t>
  </si>
  <si>
    <t>%</t>
  </si>
  <si>
    <t>ExxonMobil Alaska</t>
  </si>
  <si>
    <t>Default</t>
  </si>
  <si>
    <t>Equipment Life (years)</t>
  </si>
  <si>
    <t>n</t>
  </si>
  <si>
    <t>i</t>
  </si>
  <si>
    <t>DAC</t>
  </si>
  <si>
    <t>hr/yr</t>
  </si>
  <si>
    <t>Final</t>
  </si>
  <si>
    <t>Notes</t>
  </si>
  <si>
    <t>dscf/MMBtu</t>
  </si>
  <si>
    <t>Final Units</t>
  </si>
  <si>
    <t>wt%</t>
  </si>
  <si>
    <t>lb/gal</t>
  </si>
  <si>
    <t>years</t>
  </si>
  <si>
    <t>Inventory Capital (initial reagent fill)</t>
  </si>
  <si>
    <t>Annual Reagent Cost</t>
  </si>
  <si>
    <t>Operating &amp; Supervisory Labor</t>
  </si>
  <si>
    <t>q*Cost*[op hr/yr]</t>
  </si>
  <si>
    <t>kW</t>
  </si>
  <si>
    <t>hours</t>
  </si>
  <si>
    <t>0.05 x A</t>
  </si>
  <si>
    <t>0.10 x A</t>
  </si>
  <si>
    <t>C=0.15 x (A + B)</t>
  </si>
  <si>
    <t>General Facilities (misc. support facilities/equipment)</t>
  </si>
  <si>
    <t>TCI = A + B + C + G + H</t>
  </si>
  <si>
    <t>Annual Electricity Cost</t>
  </si>
  <si>
    <t>or</t>
  </si>
  <si>
    <t>lb NOx/MMBtu</t>
  </si>
  <si>
    <t>lb NOx/MMscf</t>
  </si>
  <si>
    <t>ppmv @ 15% O2</t>
  </si>
  <si>
    <t>ppmv @ 3% O2</t>
  </si>
  <si>
    <t>30 ppmv @ 3% O2</t>
  </si>
  <si>
    <r>
      <rPr>
        <b/>
        <sz val="10"/>
        <color theme="1"/>
        <rFont val="Calibri"/>
        <family val="2"/>
        <scheme val="minor"/>
      </rPr>
      <t>Aqueous Ammonia Costs:</t>
    </r>
    <r>
      <rPr>
        <sz val="10"/>
        <color theme="1"/>
        <rFont val="Calibri"/>
        <family val="2"/>
        <scheme val="minor"/>
      </rPr>
      <t xml:space="preserve"> Enter values below or parameters to estimate.</t>
    </r>
  </si>
  <si>
    <t>Power demand:</t>
  </si>
  <si>
    <r>
      <rPr>
        <b/>
        <sz val="10"/>
        <color theme="1"/>
        <rFont val="Calibri"/>
        <family val="2"/>
        <scheme val="minor"/>
      </rPr>
      <t>Annual Electricity Costs:</t>
    </r>
    <r>
      <rPr>
        <sz val="10"/>
        <color theme="1"/>
        <rFont val="Calibri"/>
        <family val="2"/>
        <scheme val="minor"/>
      </rPr>
      <t xml:space="preserve"> Enter values below. Where default value is available, entered number overrides default.</t>
    </r>
  </si>
  <si>
    <t>Cond Format</t>
  </si>
  <si>
    <t xml:space="preserve">Catalyst Costs: </t>
  </si>
  <si>
    <t>$</t>
  </si>
  <si>
    <t>Cost Assumptions:</t>
  </si>
  <si>
    <t>Turbine heat capacity:</t>
  </si>
  <si>
    <t>Duct burner heat capacity, if applicable:</t>
  </si>
  <si>
    <t>Turbine uncontrolled NOx concentration:</t>
  </si>
  <si>
    <t>Duct burner uncontrolled NOx concentration:</t>
  </si>
  <si>
    <t>Controlled NOx concentration:</t>
  </si>
  <si>
    <t>$/gallon</t>
  </si>
  <si>
    <t>gallons</t>
  </si>
  <si>
    <t>days' worth</t>
  </si>
  <si>
    <t>Aqueous ammonia consumption rate:</t>
  </si>
  <si>
    <t>Natural Gas Turbines</t>
  </si>
  <si>
    <t>Catalyst replacement frequency:</t>
  </si>
  <si>
    <t>Initial catalyst cost:</t>
  </si>
  <si>
    <t>Catalyst replacement cost  [Default: Same as Initial]</t>
  </si>
  <si>
    <t>If aqueous ammonia consumption rate not known, estimate on the basis of the parameters below:</t>
  </si>
  <si>
    <t>Aqueous ammonia storage volume:</t>
  </si>
  <si>
    <t>Aqueous ammonia cost:</t>
  </si>
  <si>
    <t>0.015 x TCI</t>
  </si>
  <si>
    <t>G = 0.02 x (A + B + C)</t>
  </si>
  <si>
    <t>H = [Storage Gal] x [Reagent $/gal]</t>
  </si>
  <si>
    <t>$/yr</t>
  </si>
  <si>
    <r>
      <t>NH3 solution mass flow rate (m</t>
    </r>
    <r>
      <rPr>
        <vertAlign val="subscript"/>
        <sz val="11"/>
        <color theme="1"/>
        <rFont val="Calibri"/>
        <family val="2"/>
        <scheme val="minor"/>
      </rPr>
      <t>sol</t>
    </r>
    <r>
      <rPr>
        <sz val="11"/>
        <color theme="1"/>
        <rFont val="Calibri"/>
        <family val="2"/>
        <scheme val="minor"/>
      </rPr>
      <t>)</t>
    </r>
  </si>
  <si>
    <r>
      <t>NH3 solution volume flow rate (q</t>
    </r>
    <r>
      <rPr>
        <vertAlign val="subscript"/>
        <sz val="11"/>
        <color theme="1"/>
        <rFont val="Calibri"/>
        <family val="2"/>
        <scheme val="minor"/>
      </rPr>
      <t>sol</t>
    </r>
    <r>
      <rPr>
        <sz val="11"/>
        <color theme="1"/>
        <rFont val="Calibri"/>
        <family val="2"/>
        <scheme val="minor"/>
      </rPr>
      <t>)</t>
    </r>
  </si>
  <si>
    <t>Required data is highlighted yellow.</t>
  </si>
  <si>
    <t>Enter values in boxes below. Where default value is available, entered value will override default.</t>
  </si>
  <si>
    <t>NOx Emission Rates</t>
  </si>
  <si>
    <t>Combustion Unit Sizing</t>
  </si>
  <si>
    <t>Natural Gas Properties</t>
  </si>
  <si>
    <t>Operational Parameters</t>
  </si>
  <si>
    <t>Cost Quantification:</t>
  </si>
  <si>
    <t>Indirect Installation Costs:</t>
  </si>
  <si>
    <t>See parameters below</t>
  </si>
  <si>
    <t>Project Cost</t>
  </si>
  <si>
    <t>Cost Category</t>
  </si>
  <si>
    <t>Capital Investment:</t>
  </si>
  <si>
    <t>Direct Annual Costs:</t>
  </si>
  <si>
    <t>Default Estimate</t>
  </si>
  <si>
    <t>EPA Equation /
Estimate Basis</t>
  </si>
  <si>
    <t>CRF = i/(1-(1+i)^-n)</t>
  </si>
  <si>
    <t>Uncontrolled NOx (tpy)</t>
  </si>
  <si>
    <t>Controlled NOx Emissions (tpy)</t>
  </si>
  <si>
    <t>NOx Reduction (tpy)</t>
  </si>
  <si>
    <t>Cost Effectiveness ($/ton/yr)</t>
  </si>
  <si>
    <t>Enter values in boxes below. Where default value or estimate is available, entered Project Cost value will override default.</t>
  </si>
  <si>
    <t>Cost Effectiveness Analysis:</t>
  </si>
  <si>
    <t>Design Parameters:</t>
  </si>
  <si>
    <t>Total Direct Capital Costs:</t>
  </si>
  <si>
    <t>Total Annual Costs:</t>
  </si>
  <si>
    <t>Conclusion:</t>
  </si>
  <si>
    <t>Natural Gas Heaters/Boilers</t>
  </si>
  <si>
    <t>Heater/boiler heat capacity:</t>
  </si>
  <si>
    <t>TCI = A + B + C + G</t>
  </si>
  <si>
    <r>
      <t xml:space="preserve">Note: All costs should represent </t>
    </r>
    <r>
      <rPr>
        <b/>
        <i/>
        <sz val="10"/>
        <color theme="1"/>
        <rFont val="Calibri"/>
        <family val="2"/>
        <scheme val="minor"/>
      </rPr>
      <t>incremental</t>
    </r>
    <r>
      <rPr>
        <sz val="10"/>
        <color theme="1"/>
        <rFont val="Calibri"/>
        <family val="2"/>
        <scheme val="minor"/>
      </rPr>
      <t xml:space="preserve"> costs over the cost of baseline technology.</t>
    </r>
  </si>
  <si>
    <t>BACT Cost Effectiveness Analysis</t>
  </si>
  <si>
    <t>SCR Cost Effectiveness per EPA Control Cost Manual</t>
  </si>
  <si>
    <t>Dry Low NOx (DLN), DLN+1, or Ultra-Low NOx Burner (ULNB)</t>
  </si>
  <si>
    <t>Uncontrolled NOx concentration:</t>
  </si>
  <si>
    <t>Oxidation Catalyst</t>
  </si>
  <si>
    <t>CO</t>
  </si>
  <si>
    <t>VOC</t>
  </si>
  <si>
    <t>Uncontrolled Emissions (tpy)</t>
  </si>
  <si>
    <t>Controlled Emissions (tpy)</t>
  </si>
  <si>
    <t>Emission Reduction (tpy)</t>
  </si>
  <si>
    <t>CO Emission Rates</t>
  </si>
  <si>
    <t>lb CO/MMBtu</t>
  </si>
  <si>
    <t>lb CO/MMscf</t>
  </si>
  <si>
    <t>Controlled CO concentration:</t>
  </si>
  <si>
    <t>%wt VOC reduction</t>
  </si>
  <si>
    <t>VOC Emission Rates</t>
  </si>
  <si>
    <t>%wt CO reduction</t>
  </si>
  <si>
    <t>lb VOC/MMBtu</t>
  </si>
  <si>
    <t>lb VOC/MMscf</t>
  </si>
  <si>
    <t>Controlled VOC concentration:</t>
  </si>
  <si>
    <t>or (default)</t>
  </si>
  <si>
    <t>ppmv @ 3% O2 (as methane)</t>
  </si>
  <si>
    <t>Conclusions:</t>
  </si>
  <si>
    <t>Uncontrolled CO concentration:</t>
  </si>
  <si>
    <t>Uncontrolled VOC concentration:</t>
  </si>
  <si>
    <t>BACT Cost Effectiveness Analysis Worksheet</t>
  </si>
  <si>
    <t>Recurring expenses (e.g., turnaround, catalyst replacement)</t>
  </si>
  <si>
    <t>Pollutant to be analyzed:</t>
  </si>
  <si>
    <t>SOx</t>
  </si>
  <si>
    <t>Eqn. 2.44 (Section 4.2, Ch. 2)</t>
  </si>
  <si>
    <t>Eqn 2.54 (Section 4.2, Ch. 2)</t>
  </si>
  <si>
    <t>Eqn 2.47 (Section 4.2, Ch. 2)</t>
  </si>
  <si>
    <t>Eqn 2.49 (Section 4.2, Ch. 2)</t>
  </si>
  <si>
    <t>Eqn 2.56 (Section 4.2, Ch. 2)</t>
  </si>
  <si>
    <t>Eqn 2.32, 2.33 (Section 4.2, Ch. 2)</t>
  </si>
  <si>
    <t>Eqn 2.34 (Section 4.2, Ch. 2)</t>
  </si>
  <si>
    <t>Cost Effectiveness Threshold</t>
  </si>
  <si>
    <t xml:space="preserve"> Cost Effectiveness Threshold</t>
  </si>
  <si>
    <t>Alaska LNG Project</t>
  </si>
  <si>
    <t>Purchased Equipment Costs</t>
  </si>
  <si>
    <t>Instrumentation &amp; Controls</t>
  </si>
  <si>
    <t>Freight</t>
  </si>
  <si>
    <t>Purchased Equipment:</t>
  </si>
  <si>
    <t>Foundation &amp; Supports</t>
  </si>
  <si>
    <t>Erection and Handling</t>
  </si>
  <si>
    <t>Electrical</t>
  </si>
  <si>
    <t>Piping</t>
  </si>
  <si>
    <t>Insulation</t>
  </si>
  <si>
    <t>Painting</t>
  </si>
  <si>
    <t>Site Preparation</t>
  </si>
  <si>
    <t>Direct Capital Costs</t>
  </si>
  <si>
    <t>Indirect Capital Costs</t>
  </si>
  <si>
    <t>Engineering &amp; Supervision</t>
  </si>
  <si>
    <t>Contractor Fees</t>
  </si>
  <si>
    <t>Startup-up</t>
  </si>
  <si>
    <t>Performance Testing</t>
  </si>
  <si>
    <t>Construction and Field Expenses</t>
  </si>
  <si>
    <t>Need input</t>
  </si>
  <si>
    <t>-</t>
  </si>
  <si>
    <t>Direct Installation Costs:</t>
  </si>
  <si>
    <t>PE</t>
  </si>
  <si>
    <t>DI</t>
  </si>
  <si>
    <t>IC</t>
  </si>
  <si>
    <t>Indirect Costs:</t>
  </si>
  <si>
    <t>DC = PE + DI</t>
  </si>
  <si>
    <t>Total Direct Capital Costs (DC)</t>
  </si>
  <si>
    <t>Total Direct Installation Cost (DI)</t>
  </si>
  <si>
    <t>Total Purchased Equipment Cost (PE)</t>
  </si>
  <si>
    <t>TaxRate x (A+B+C)</t>
  </si>
  <si>
    <t>G = [Storage Gal] x [Reagent $/gal]</t>
  </si>
  <si>
    <t>TCI = DC + IC + E + F + G</t>
  </si>
  <si>
    <t>Cost Effectiveness Threshold ($/ton/yr)</t>
  </si>
  <si>
    <t>Direct Annual Costs</t>
  </si>
  <si>
    <r>
      <t xml:space="preserve">Taxes </t>
    </r>
    <r>
      <rPr>
        <sz val="9"/>
        <color theme="1"/>
        <rFont val="Calibri"/>
        <family val="2"/>
        <scheme val="minor"/>
      </rPr>
      <t>(Enter sales tax rate in "% Applied")</t>
    </r>
  </si>
  <si>
    <t>Supervisory Labor</t>
  </si>
  <si>
    <t>Operating Labor</t>
  </si>
  <si>
    <t>Overhead</t>
  </si>
  <si>
    <t>Property Tax</t>
  </si>
  <si>
    <t>Insurance</t>
  </si>
  <si>
    <t>General Administrative</t>
  </si>
  <si>
    <t>Maintenance Labor</t>
  </si>
  <si>
    <t>Maintenance Materials</t>
  </si>
  <si>
    <t>100% of Maint. Labor</t>
  </si>
  <si>
    <t>Other Maintenance Cost (specify)</t>
  </si>
  <si>
    <t>Fuel Penalty Costs (specify)</t>
  </si>
  <si>
    <t>Capital Recovery Cost</t>
  </si>
  <si>
    <t>TAC = DA + IDAC + CRC</t>
  </si>
  <si>
    <t>Capital Recovery Cost (CRC)</t>
  </si>
  <si>
    <t>Eqn 2.51 (Section 4.2, Ch. 2)</t>
  </si>
  <si>
    <t>Annual Catalyst Replacement Cost</t>
  </si>
  <si>
    <t>Utility Heater</t>
  </si>
  <si>
    <t>Turbine SCR</t>
  </si>
  <si>
    <t>Total Annual Cost 
($/yr)</t>
  </si>
  <si>
    <t>NOx Emission Reduction
(tpy)</t>
  </si>
  <si>
    <t>Cost Effectiveness
($/ton)</t>
  </si>
  <si>
    <t>Turbine CO Catalyst</t>
  </si>
  <si>
    <t>CO Emission Reduction
(tpy)</t>
  </si>
  <si>
    <t>SCR</t>
  </si>
  <si>
    <t>CO Catalyst</t>
  </si>
  <si>
    <t>Emission Reduction
(tpy)</t>
  </si>
  <si>
    <t>Total Indirect Annual Costs</t>
  </si>
  <si>
    <t>Heater</t>
  </si>
  <si>
    <t>Default % Applied</t>
  </si>
  <si>
    <t>Reference</t>
  </si>
  <si>
    <t>Vendor Supplied</t>
  </si>
  <si>
    <t>Ammonia System</t>
  </si>
  <si>
    <t>No sales tax in Alaska</t>
  </si>
  <si>
    <t>Total Indirect Costs (TIC)</t>
  </si>
  <si>
    <t>OAQPS (15% of DC &amp; TIC)</t>
  </si>
  <si>
    <t>OAQPS (2% of DC &amp; TIC &amp; Proj Contingency)</t>
  </si>
  <si>
    <t>15% of Op. Labor</t>
  </si>
  <si>
    <t>OAQPS (15% of Op Labor)</t>
  </si>
  <si>
    <t>OAQPS (1.5% of TCI)</t>
  </si>
  <si>
    <t>OAQPS (15% of Maint. Labor)</t>
  </si>
  <si>
    <t>Catalyst Disposal Cost</t>
  </si>
  <si>
    <t>Engineering Estimate</t>
  </si>
  <si>
    <t>Indirect Annual Costs:</t>
  </si>
  <si>
    <t>OAQPS (60% of Op/Super/Maint. Labor &amp; Mtls)</t>
  </si>
  <si>
    <t>OAQPS (1%)</t>
  </si>
  <si>
    <t>OAQPS (2%)</t>
  </si>
  <si>
    <t>7% per Agrium US Inc, Kenai Nitrogen Operations Facility Air Quality Control Construction Permit AQ0083CPT06</t>
  </si>
  <si>
    <t>OAQPS Eqn 2.54 (Section 4.2, Ch. 2)</t>
  </si>
  <si>
    <t>OAQPS Eqn 2.56 (Section 4.2, Ch. 2)</t>
  </si>
  <si>
    <t>Calculated below</t>
  </si>
  <si>
    <t>Calculated above</t>
  </si>
  <si>
    <t>OAQPS Eqn 2.58 (Section 4.2, Ch. 2)</t>
  </si>
  <si>
    <t>Assumption for baseline/uncontrolled emissions</t>
  </si>
  <si>
    <t>Most stringent limit identified as BACT</t>
  </si>
  <si>
    <t xml:space="preserve">EPA 40 CFR Part 60 Appendix A, Method 19, Table 19-2 </t>
  </si>
  <si>
    <t>Eqn 2.48 (Section 4.2, Ch. 2)</t>
  </si>
  <si>
    <t>If power demand is not known, estimate on the basis of the parameters below:</t>
  </si>
  <si>
    <t>delta P duct [Default: 3 in H2O]</t>
  </si>
  <si>
    <t>OAQPS Eqn 2.48 (Section 4.2, Ch. 2)</t>
  </si>
  <si>
    <t>in H2O</t>
  </si>
  <si>
    <t>delta P catalyst (per layer) [Default: 1 in H2O]</t>
  </si>
  <si>
    <t>number of layers of catalyst</t>
  </si>
  <si>
    <t># layers</t>
  </si>
  <si>
    <t>Calculated Power demand:</t>
  </si>
  <si>
    <t>Engineeering Data</t>
  </si>
  <si>
    <t>Calculated Aqueous ammonia consumption rate:</t>
  </si>
  <si>
    <t>OAQPS Eqn 2.32-2.34 (Section 4.2, Ch. 2)</t>
  </si>
  <si>
    <t>ADEC Default</t>
  </si>
  <si>
    <t>OAQPS Eqn 2.51 (Section 4.2, Ch. 2)</t>
  </si>
  <si>
    <t>Purchased Equipment Costs, $</t>
  </si>
  <si>
    <t>Freight (replacement catalyst)</t>
  </si>
  <si>
    <t>Catalyst Life, yrs</t>
  </si>
  <si>
    <t>SCR Catalyst</t>
  </si>
  <si>
    <t>CO2 Compression</t>
  </si>
  <si>
    <t>Treated Gas Compression</t>
  </si>
  <si>
    <t>Power Generation</t>
  </si>
  <si>
    <t>engineering judgement</t>
  </si>
  <si>
    <t>AECOM equipment estimating data</t>
  </si>
  <si>
    <t>Uncontrolled CO (tpy)</t>
  </si>
  <si>
    <t>Controlled CO Emissions (tpy)</t>
  </si>
  <si>
    <t>[13]</t>
  </si>
  <si>
    <t>[3]</t>
  </si>
  <si>
    <t>[11]</t>
  </si>
  <si>
    <t>[9]</t>
  </si>
  <si>
    <t>Line in BACT Sheet</t>
  </si>
  <si>
    <t>Ammonia Storage System ,$</t>
  </si>
  <si>
    <t>Catalyst Replacement cost</t>
  </si>
  <si>
    <t>SCR Catalyst Replacement Cost, $</t>
  </si>
  <si>
    <t>Exhaust Stack, SCFM</t>
  </si>
  <si>
    <t>CO Catalyst Replacement Cost, $</t>
  </si>
  <si>
    <t>[8]</t>
  </si>
  <si>
    <t>[8], [14]</t>
  </si>
  <si>
    <t>Ammonia Consumption</t>
  </si>
  <si>
    <t>Ammonia Cost, $/gal</t>
  </si>
  <si>
    <t>Ammonia Consumption, lb/hr</t>
  </si>
  <si>
    <t>Power requirements</t>
  </si>
  <si>
    <t>[7]</t>
  </si>
  <si>
    <t>kW of power  per machine</t>
  </si>
  <si>
    <t>[6]</t>
  </si>
  <si>
    <t>Turbines</t>
  </si>
  <si>
    <t>[16]</t>
  </si>
  <si>
    <t>[15]</t>
  </si>
  <si>
    <t>SCFM =max of temp range Siemens (lb/sec)*60/(density of air at STP)</t>
  </si>
  <si>
    <t>* OAQPS refers to the EPA Air Pollution Control Cost Manual, Sixth Edition and subsequent revisions.</t>
  </si>
  <si>
    <t>Uncontrolled GHG (tpy)</t>
  </si>
  <si>
    <t>Controlled GHG Emissions (tpy)</t>
  </si>
  <si>
    <t>GHG Reduction (tpy)</t>
  </si>
  <si>
    <t>All Turbines CCS Cost Effectiveness Analysis</t>
  </si>
  <si>
    <t>Note that all info on Spreadsheet before Total Capital Investment (row 41) is not accurate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</si>
</sst>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  <numFmt numFmtId="166" formatCode="0.0%"/>
    <numFmt numFmtId="167" formatCode="&quot;$&quot;#,##0"/>
    <numFmt numFmtId="168" formatCode="#,##0.0000"/>
    <numFmt numFmtId="169" formatCode="_(&quot;$&quot;* #,##0_);_(&quot;$&quot;* \(#,##0\);_(&quot;$&quot;* &quot;-&quot;??_);_(@_)"/>
    <numFmt numFmtId="170" formatCode="&quot;$&quot;#,##0.0000"/>
    <numFmt numFmtId="171" formatCode="_(* #,##0.000_);_(* \(#,##0.000\);_(* &quot;-&quot;??_);_(@_)"/>
    <numFmt numFmtId="172" formatCode="0.0"/>
    <numFmt numFmtId="173" formatCode="_(* #,##0_);_(* \(#,##0\);_(* &quot;-&quot;??_);_(@_)"/>
    <numFmt numFmtId="174" formatCode="&quot;$&quot;#,##0.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9.9"/>
      <color indexed="12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name val="ＭＳ Ｐゴシック"/>
      <family val="3"/>
      <charset val="12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7"/>
        <bgColor indexed="63"/>
      </patternFill>
    </fill>
    <fill>
      <patternFill patternType="solid">
        <fgColor indexed="59"/>
        <bgColor indexed="63"/>
      </patternFill>
    </fill>
    <fill>
      <patternFill patternType="solid">
        <fgColor indexed="62"/>
        <bgColor indexed="63"/>
      </patternFill>
    </fill>
    <fill>
      <patternFill patternType="solid">
        <fgColor indexed="61"/>
        <bgColor indexed="63"/>
      </patternFill>
    </fill>
    <fill>
      <patternFill patternType="solid">
        <fgColor indexed="60"/>
        <bgColor indexed="63"/>
      </patternFill>
    </fill>
    <fill>
      <patternFill patternType="solid">
        <fgColor theme="0"/>
        <bgColor indexed="64"/>
      </patternFill>
    </fill>
    <fill>
      <patternFill patternType="lightUp">
        <bgColor theme="0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6" fillId="2" borderId="0" applyNumberFormat="0" applyFon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0" fontId="22" fillId="6" borderId="0">
      <alignment horizontal="center"/>
    </xf>
    <xf numFmtId="0" fontId="23" fillId="7" borderId="0">
      <alignment horizontal="center"/>
    </xf>
    <xf numFmtId="0" fontId="24" fillId="7" borderId="0">
      <alignment horizontal="center"/>
    </xf>
    <xf numFmtId="0" fontId="23" fillId="8" borderId="0">
      <alignment horizontal="center"/>
    </xf>
    <xf numFmtId="0" fontId="25" fillId="8" borderId="0">
      <alignment horizontal="center"/>
    </xf>
    <xf numFmtId="0" fontId="24" fillId="8" borderId="0">
      <alignment horizontal="center"/>
    </xf>
    <xf numFmtId="0" fontId="22" fillId="8" borderId="0">
      <alignment horizontal="center"/>
    </xf>
    <xf numFmtId="0" fontId="23" fillId="0" borderId="0">
      <alignment horizontal="center"/>
    </xf>
    <xf numFmtId="0" fontId="22" fillId="0" borderId="0">
      <alignment horizontal="center"/>
    </xf>
    <xf numFmtId="0" fontId="23" fillId="9" borderId="0">
      <alignment horizontal="center"/>
    </xf>
    <xf numFmtId="0" fontId="24" fillId="9" borderId="0">
      <alignment horizontal="center"/>
    </xf>
    <xf numFmtId="0" fontId="23" fillId="10" borderId="0">
      <alignment horizontal="center"/>
    </xf>
    <xf numFmtId="0" fontId="24" fillId="10" borderId="0">
      <alignment horizontal="center"/>
    </xf>
    <xf numFmtId="0" fontId="22" fillId="10" borderId="0">
      <alignment horizontal="center"/>
    </xf>
    <xf numFmtId="41" fontId="3" fillId="0" borderId="0" applyFont="0" applyFill="0" applyBorder="0" applyAlignment="0" applyProtection="0"/>
    <xf numFmtId="0" fontId="26" fillId="0" borderId="0"/>
  </cellStyleXfs>
  <cellXfs count="557">
    <xf numFmtId="0" fontId="0" fillId="0" borderId="0" xfId="0"/>
    <xf numFmtId="0" fontId="0" fillId="0" borderId="0" xfId="0" applyAlignment="1">
      <alignment horizontal="center"/>
    </xf>
    <xf numFmtId="0" fontId="8" fillId="0" borderId="0" xfId="1" applyFont="1" applyFill="1" applyAlignment="1">
      <alignment horizontal="centerContinuous"/>
    </xf>
    <xf numFmtId="0" fontId="7" fillId="0" borderId="0" xfId="1" applyFont="1" applyFill="1"/>
    <xf numFmtId="0" fontId="7" fillId="0" borderId="0" xfId="1" applyFont="1" applyFill="1" applyAlignment="1">
      <alignment horizontal="center"/>
    </xf>
    <xf numFmtId="0" fontId="7" fillId="0" borderId="0" xfId="1" applyFont="1" applyFill="1" applyAlignment="1">
      <alignment wrapText="1"/>
    </xf>
    <xf numFmtId="0" fontId="9" fillId="0" borderId="2" xfId="1" applyFont="1" applyFill="1" applyBorder="1"/>
    <xf numFmtId="0" fontId="7" fillId="0" borderId="2" xfId="1" applyFont="1" applyFill="1" applyBorder="1" applyAlignment="1">
      <alignment horizontal="center"/>
    </xf>
    <xf numFmtId="0" fontId="7" fillId="0" borderId="0" xfId="1" applyFont="1" applyFill="1" applyBorder="1"/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2" fontId="1" fillId="0" borderId="0" xfId="1" applyNumberFormat="1" applyFont="1" applyFill="1" applyBorder="1" applyAlignment="1" applyProtection="1">
      <alignment horizontal="center" vertical="center"/>
      <protection locked="0"/>
    </xf>
    <xf numFmtId="2" fontId="1" fillId="0" borderId="18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left" vertical="center"/>
      <protection locked="0"/>
    </xf>
    <xf numFmtId="0" fontId="1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right" vertical="center"/>
    </xf>
    <xf numFmtId="2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" fillId="0" borderId="0" xfId="1" applyFont="1" applyFill="1" applyAlignment="1" applyProtection="1">
      <alignment vertical="center"/>
      <protection locked="0"/>
    </xf>
    <xf numFmtId="2" fontId="1" fillId="0" borderId="0" xfId="1" applyNumberFormat="1" applyFont="1" applyFill="1" applyAlignment="1" applyProtection="1">
      <alignment horizontal="center" vertical="center"/>
      <protection locked="0"/>
    </xf>
    <xf numFmtId="0" fontId="1" fillId="0" borderId="0" xfId="1" applyFont="1" applyFill="1" applyBorder="1" applyAlignment="1">
      <alignment horizontal="left" vertical="center"/>
    </xf>
    <xf numFmtId="167" fontId="1" fillId="0" borderId="0" xfId="1" applyNumberFormat="1" applyFont="1" applyFill="1" applyAlignment="1" applyProtection="1">
      <alignment horizontal="center" vertical="center"/>
      <protection locked="0"/>
    </xf>
    <xf numFmtId="0" fontId="7" fillId="0" borderId="0" xfId="1" applyFont="1" applyFill="1" applyAlignment="1">
      <alignment vertical="center" wrapText="1"/>
    </xf>
    <xf numFmtId="0" fontId="0" fillId="0" borderId="0" xfId="1" applyFont="1" applyFill="1" applyAlignment="1" applyProtection="1">
      <alignment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Alignment="1">
      <alignment horizontal="center" vertical="center"/>
    </xf>
    <xf numFmtId="4" fontId="1" fillId="0" borderId="0" xfId="1" applyNumberFormat="1" applyFont="1" applyFill="1" applyAlignment="1" applyProtection="1">
      <alignment horizontal="center" vertical="center"/>
      <protection locked="0"/>
    </xf>
    <xf numFmtId="167" fontId="2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2" fillId="0" borderId="3" xfId="1" applyFont="1" applyFill="1" applyBorder="1" applyAlignment="1" applyProtection="1">
      <alignment vertical="center"/>
      <protection locked="0"/>
    </xf>
    <xf numFmtId="0" fontId="2" fillId="0" borderId="20" xfId="1" applyFont="1" applyFill="1" applyBorder="1" applyAlignment="1" applyProtection="1">
      <alignment vertical="center"/>
      <protection locked="0"/>
    </xf>
    <xf numFmtId="0" fontId="0" fillId="0" borderId="16" xfId="1" applyFont="1" applyFill="1" applyBorder="1" applyAlignment="1" applyProtection="1">
      <alignment vertical="center"/>
      <protection locked="0"/>
    </xf>
    <xf numFmtId="0" fontId="0" fillId="0" borderId="1" xfId="1" applyFont="1" applyFill="1" applyBorder="1" applyAlignment="1" applyProtection="1">
      <alignment horizontal="centerContinuous" vertical="center"/>
      <protection locked="0"/>
    </xf>
    <xf numFmtId="0" fontId="0" fillId="0" borderId="15" xfId="1" applyFont="1" applyFill="1" applyBorder="1" applyAlignment="1">
      <alignment horizontal="centerContinuous" vertical="center"/>
    </xf>
    <xf numFmtId="0" fontId="0" fillId="0" borderId="29" xfId="1" applyFont="1" applyFill="1" applyBorder="1" applyAlignment="1">
      <alignment horizontal="centerContinuous" vertical="center"/>
    </xf>
    <xf numFmtId="0" fontId="0" fillId="0" borderId="16" xfId="1" applyFont="1" applyFill="1" applyBorder="1" applyAlignment="1">
      <alignment horizontal="centerContinuous" vertical="center"/>
    </xf>
    <xf numFmtId="0" fontId="1" fillId="0" borderId="14" xfId="1" applyFont="1" applyFill="1" applyBorder="1" applyAlignment="1" applyProtection="1">
      <alignment horizontal="centerContinuous" vertical="center"/>
      <protection locked="0"/>
    </xf>
    <xf numFmtId="0" fontId="0" fillId="0" borderId="5" xfId="1" applyFont="1" applyFill="1" applyBorder="1" applyAlignment="1" applyProtection="1">
      <alignment horizontal="centerContinuous" vertical="center"/>
      <protection locked="0"/>
    </xf>
    <xf numFmtId="0" fontId="0" fillId="0" borderId="35" xfId="1" applyFont="1" applyFill="1" applyBorder="1" applyAlignment="1">
      <alignment horizontal="centerContinuous" vertical="center"/>
    </xf>
    <xf numFmtId="0" fontId="0" fillId="0" borderId="36" xfId="1" applyFont="1" applyFill="1" applyBorder="1" applyAlignment="1">
      <alignment horizontal="centerContinuous" vertical="center"/>
    </xf>
    <xf numFmtId="0" fontId="0" fillId="0" borderId="37" xfId="1" applyFont="1" applyFill="1" applyBorder="1" applyAlignment="1">
      <alignment horizontal="centerContinuous" vertical="center"/>
    </xf>
    <xf numFmtId="0" fontId="1" fillId="0" borderId="33" xfId="1" applyFont="1" applyFill="1" applyBorder="1" applyAlignment="1" applyProtection="1">
      <alignment horizontal="centerContinuous" vertical="center"/>
      <protection locked="0"/>
    </xf>
    <xf numFmtId="0" fontId="0" fillId="0" borderId="35" xfId="1" applyFont="1" applyFill="1" applyBorder="1" applyAlignment="1" applyProtection="1">
      <alignment horizontal="centerContinuous" vertical="center"/>
      <protection locked="0"/>
    </xf>
    <xf numFmtId="0" fontId="1" fillId="0" borderId="36" xfId="1" applyFont="1" applyFill="1" applyBorder="1" applyAlignment="1" applyProtection="1">
      <alignment horizontal="centerContinuous" vertical="center"/>
      <protection locked="0"/>
    </xf>
    <xf numFmtId="0" fontId="1" fillId="0" borderId="37" xfId="1" applyFont="1" applyFill="1" applyBorder="1" applyAlignment="1" applyProtection="1">
      <alignment horizontal="centerContinuous" vertical="center"/>
      <protection locked="0"/>
    </xf>
    <xf numFmtId="0" fontId="2" fillId="0" borderId="33" xfId="1" applyFont="1" applyFill="1" applyBorder="1" applyAlignment="1" applyProtection="1">
      <alignment horizontal="centerContinuous" vertical="center"/>
      <protection locked="0"/>
    </xf>
    <xf numFmtId="0" fontId="7" fillId="0" borderId="36" xfId="1" applyFont="1" applyFill="1" applyBorder="1" applyAlignment="1">
      <alignment horizontal="centerContinuous" vertical="center"/>
    </xf>
    <xf numFmtId="0" fontId="1" fillId="0" borderId="5" xfId="1" applyFont="1" applyFill="1" applyBorder="1" applyAlignment="1" applyProtection="1">
      <alignment horizontal="centerContinuous" vertical="center"/>
      <protection locked="0"/>
    </xf>
    <xf numFmtId="167" fontId="1" fillId="0" borderId="5" xfId="1" applyNumberFormat="1" applyFont="1" applyFill="1" applyBorder="1" applyAlignment="1" applyProtection="1">
      <alignment horizontal="centerContinuous" vertical="center"/>
      <protection locked="0"/>
    </xf>
    <xf numFmtId="0" fontId="0" fillId="0" borderId="37" xfId="1" applyFont="1" applyFill="1" applyBorder="1" applyAlignment="1" applyProtection="1">
      <alignment horizontal="centerContinuous" vertical="center" wrapText="1"/>
      <protection locked="0"/>
    </xf>
    <xf numFmtId="0" fontId="0" fillId="0" borderId="15" xfId="1" applyFont="1" applyFill="1" applyBorder="1" applyAlignment="1">
      <alignment vertical="center"/>
    </xf>
    <xf numFmtId="0" fontId="1" fillId="0" borderId="26" xfId="1" applyNumberFormat="1" applyFont="1" applyFill="1" applyBorder="1" applyAlignment="1" applyProtection="1">
      <alignment horizontal="center" vertical="center"/>
      <protection locked="0"/>
    </xf>
    <xf numFmtId="0" fontId="1" fillId="0" borderId="22" xfId="1" applyFont="1" applyFill="1" applyBorder="1" applyAlignment="1" applyProtection="1">
      <alignment vertical="center"/>
      <protection locked="0"/>
    </xf>
    <xf numFmtId="0" fontId="1" fillId="0" borderId="30" xfId="1" applyFont="1" applyFill="1" applyBorder="1" applyAlignment="1" applyProtection="1">
      <alignment vertical="center"/>
      <protection locked="0"/>
    </xf>
    <xf numFmtId="0" fontId="0" fillId="0" borderId="23" xfId="1" applyFont="1" applyFill="1" applyBorder="1" applyAlignment="1" applyProtection="1">
      <alignment vertical="center"/>
      <protection locked="0"/>
    </xf>
    <xf numFmtId="0" fontId="0" fillId="0" borderId="22" xfId="1" applyFont="1" applyFill="1" applyBorder="1" applyAlignment="1" applyProtection="1">
      <alignment vertical="center"/>
      <protection locked="0"/>
    </xf>
    <xf numFmtId="0" fontId="7" fillId="4" borderId="0" xfId="1" applyFont="1" applyFill="1" applyAlignment="1">
      <alignment horizontal="center"/>
    </xf>
    <xf numFmtId="0" fontId="7" fillId="0" borderId="0" xfId="1" applyFont="1" applyFill="1" applyAlignment="1">
      <alignment horizontal="right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38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/>
    </xf>
    <xf numFmtId="0" fontId="10" fillId="0" borderId="18" xfId="1" applyFont="1" applyFill="1" applyBorder="1" applyAlignment="1">
      <alignment horizontal="center"/>
    </xf>
    <xf numFmtId="0" fontId="10" fillId="0" borderId="39" xfId="1" applyFont="1" applyFill="1" applyBorder="1" applyAlignment="1">
      <alignment horizontal="center"/>
    </xf>
    <xf numFmtId="0" fontId="10" fillId="0" borderId="21" xfId="1" applyFont="1" applyFill="1" applyBorder="1" applyAlignment="1">
      <alignment horizontal="center"/>
    </xf>
    <xf numFmtId="0" fontId="0" fillId="0" borderId="18" xfId="0" applyBorder="1"/>
    <xf numFmtId="0" fontId="7" fillId="0" borderId="39" xfId="1" applyFont="1" applyFill="1" applyBorder="1" applyAlignment="1">
      <alignment horizontal="center"/>
    </xf>
    <xf numFmtId="0" fontId="7" fillId="0" borderId="39" xfId="1" applyFont="1" applyFill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1" xfId="0" applyBorder="1"/>
    <xf numFmtId="165" fontId="7" fillId="0" borderId="39" xfId="1" applyNumberFormat="1" applyFont="1" applyFill="1" applyBorder="1" applyAlignment="1">
      <alignment horizontal="center"/>
    </xf>
    <xf numFmtId="165" fontId="7" fillId="0" borderId="18" xfId="1" applyNumberFormat="1" applyFont="1" applyFill="1" applyBorder="1" applyAlignment="1">
      <alignment horizontal="center"/>
    </xf>
    <xf numFmtId="167" fontId="7" fillId="0" borderId="39" xfId="1" applyNumberFormat="1" applyFont="1" applyFill="1" applyBorder="1" applyAlignment="1">
      <alignment horizontal="center"/>
    </xf>
    <xf numFmtId="167" fontId="0" fillId="0" borderId="18" xfId="0" applyNumberFormat="1" applyBorder="1"/>
    <xf numFmtId="0" fontId="0" fillId="3" borderId="18" xfId="0" applyFill="1" applyBorder="1"/>
    <xf numFmtId="0" fontId="7" fillId="3" borderId="39" xfId="1" applyFont="1" applyFill="1" applyBorder="1" applyAlignment="1">
      <alignment horizontal="center"/>
    </xf>
    <xf numFmtId="170" fontId="7" fillId="0" borderId="39" xfId="1" applyNumberFormat="1" applyFont="1" applyFill="1" applyBorder="1" applyAlignment="1">
      <alignment horizontal="center"/>
    </xf>
    <xf numFmtId="0" fontId="1" fillId="0" borderId="39" xfId="1" applyFont="1" applyFill="1" applyBorder="1" applyAlignment="1">
      <alignment horizontal="center" vertical="center"/>
    </xf>
    <xf numFmtId="0" fontId="2" fillId="0" borderId="7" xfId="1" applyFont="1" applyFill="1" applyBorder="1" applyAlignment="1" applyProtection="1">
      <alignment horizontal="centerContinuous" vertical="center"/>
      <protection locked="0"/>
    </xf>
    <xf numFmtId="0" fontId="0" fillId="0" borderId="40" xfId="1" applyFont="1" applyFill="1" applyBorder="1" applyAlignment="1" applyProtection="1">
      <alignment horizontal="centerContinuous" vertical="center"/>
      <protection locked="0"/>
    </xf>
    <xf numFmtId="0" fontId="0" fillId="0" borderId="41" xfId="1" applyFont="1" applyFill="1" applyBorder="1" applyAlignment="1" applyProtection="1">
      <alignment horizontal="centerContinuous" vertical="center"/>
      <protection locked="0"/>
    </xf>
    <xf numFmtId="0" fontId="0" fillId="0" borderId="42" xfId="1" applyFont="1" applyFill="1" applyBorder="1" applyAlignment="1" applyProtection="1">
      <alignment horizontal="centerContinuous" vertical="center" wrapText="1"/>
      <protection locked="0"/>
    </xf>
    <xf numFmtId="0" fontId="2" fillId="0" borderId="6" xfId="1" applyFont="1" applyFill="1" applyBorder="1" applyAlignment="1" applyProtection="1">
      <alignment horizontal="centerContinuous" vertical="center"/>
      <protection locked="0"/>
    </xf>
    <xf numFmtId="0" fontId="7" fillId="0" borderId="41" xfId="1" applyFont="1" applyFill="1" applyBorder="1" applyAlignment="1">
      <alignment horizontal="centerContinuous" vertical="center"/>
    </xf>
    <xf numFmtId="167" fontId="10" fillId="0" borderId="39" xfId="1" applyNumberFormat="1" applyFont="1" applyFill="1" applyBorder="1" applyAlignment="1" applyProtection="1">
      <alignment horizontal="center" vertical="center"/>
      <protection locked="0"/>
    </xf>
    <xf numFmtId="167" fontId="7" fillId="0" borderId="39" xfId="1" applyNumberFormat="1" applyFont="1" applyFill="1" applyBorder="1" applyAlignment="1">
      <alignment horizontal="center" vertical="center"/>
    </xf>
    <xf numFmtId="167" fontId="10" fillId="0" borderId="39" xfId="1" applyNumberFormat="1" applyFont="1" applyFill="1" applyBorder="1" applyAlignment="1">
      <alignment horizontal="center" vertical="center"/>
    </xf>
    <xf numFmtId="167" fontId="2" fillId="3" borderId="24" xfId="1" applyNumberFormat="1" applyFont="1" applyFill="1" applyBorder="1" applyAlignment="1" applyProtection="1">
      <alignment horizontal="center" vertical="center"/>
      <protection locked="0"/>
    </xf>
    <xf numFmtId="167" fontId="1" fillId="0" borderId="32" xfId="1" applyNumberFormat="1" applyFont="1" applyFill="1" applyBorder="1" applyAlignment="1">
      <alignment horizontal="right" vertical="center"/>
    </xf>
    <xf numFmtId="167" fontId="1" fillId="0" borderId="28" xfId="1" applyNumberFormat="1" applyFont="1" applyFill="1" applyBorder="1" applyAlignment="1">
      <alignment horizontal="right" vertical="center"/>
    </xf>
    <xf numFmtId="167" fontId="1" fillId="0" borderId="26" xfId="1" applyNumberFormat="1" applyFont="1" applyFill="1" applyBorder="1" applyAlignment="1" applyProtection="1">
      <alignment horizontal="right" vertical="center"/>
      <protection locked="0"/>
    </xf>
    <xf numFmtId="167" fontId="1" fillId="0" borderId="28" xfId="1" applyNumberFormat="1" applyFont="1" applyFill="1" applyBorder="1" applyAlignment="1" applyProtection="1">
      <alignment horizontal="right" vertical="center"/>
      <protection locked="0"/>
    </xf>
    <xf numFmtId="167" fontId="1" fillId="0" borderId="32" xfId="1" applyNumberFormat="1" applyFont="1" applyFill="1" applyBorder="1" applyAlignment="1" applyProtection="1">
      <alignment horizontal="right" vertical="center"/>
      <protection locked="0"/>
    </xf>
    <xf numFmtId="167" fontId="2" fillId="0" borderId="17" xfId="1" applyNumberFormat="1" applyFont="1" applyFill="1" applyBorder="1" applyAlignment="1" applyProtection="1">
      <alignment horizontal="right" vertical="center"/>
      <protection locked="0"/>
    </xf>
    <xf numFmtId="166" fontId="1" fillId="0" borderId="39" xfId="10" applyNumberFormat="1" applyFont="1" applyFill="1" applyBorder="1" applyAlignment="1" applyProtection="1">
      <alignment horizontal="center" vertical="center"/>
      <protection locked="0"/>
    </xf>
    <xf numFmtId="2" fontId="1" fillId="0" borderId="39" xfId="1" applyNumberFormat="1" applyFont="1" applyFill="1" applyBorder="1" applyAlignment="1" applyProtection="1">
      <alignment horizontal="center" vertical="center"/>
      <protection locked="0"/>
    </xf>
    <xf numFmtId="166" fontId="1" fillId="0" borderId="18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/>
    </xf>
    <xf numFmtId="0" fontId="10" fillId="0" borderId="6" xfId="1" applyFont="1" applyFill="1" applyBorder="1"/>
    <xf numFmtId="0" fontId="0" fillId="0" borderId="0" xfId="0" applyBorder="1"/>
    <xf numFmtId="0" fontId="10" fillId="0" borderId="0" xfId="1" applyFont="1" applyFill="1" applyBorder="1"/>
    <xf numFmtId="0" fontId="9" fillId="0" borderId="0" xfId="1" applyFont="1" applyFill="1" applyBorder="1"/>
    <xf numFmtId="0" fontId="10" fillId="0" borderId="0" xfId="1" applyFont="1" applyFill="1" applyBorder="1" applyAlignment="1">
      <alignment horizontal="center"/>
    </xf>
    <xf numFmtId="0" fontId="12" fillId="0" borderId="0" xfId="0" applyFont="1" applyBorder="1" applyAlignment="1">
      <alignment horizontal="centerContinuous"/>
    </xf>
    <xf numFmtId="0" fontId="2" fillId="0" borderId="3" xfId="0" applyFont="1" applyBorder="1" applyAlignment="1">
      <alignment horizontal="left"/>
    </xf>
    <xf numFmtId="0" fontId="0" fillId="0" borderId="7" xfId="0" applyBorder="1"/>
    <xf numFmtId="0" fontId="0" fillId="0" borderId="5" xfId="0" applyBorder="1"/>
    <xf numFmtId="0" fontId="0" fillId="0" borderId="42" xfId="1" applyFont="1" applyFill="1" applyBorder="1" applyAlignment="1" applyProtection="1">
      <alignment horizontal="centerContinuous" vertical="center"/>
      <protection locked="0"/>
    </xf>
    <xf numFmtId="0" fontId="7" fillId="0" borderId="40" xfId="1" applyFont="1" applyFill="1" applyBorder="1" applyAlignment="1" applyProtection="1">
      <alignment horizontal="centerContinuous" vertical="center"/>
      <protection locked="0"/>
    </xf>
    <xf numFmtId="0" fontId="7" fillId="0" borderId="35" xfId="1" applyFont="1" applyFill="1" applyBorder="1" applyAlignment="1" applyProtection="1">
      <alignment horizontal="centerContinuous" vertical="center"/>
      <protection locked="0"/>
    </xf>
    <xf numFmtId="0" fontId="7" fillId="0" borderId="41" xfId="1" applyFont="1" applyFill="1" applyBorder="1" applyAlignment="1" applyProtection="1">
      <alignment horizontal="centerContinuous" vertical="center"/>
      <protection locked="0"/>
    </xf>
    <xf numFmtId="0" fontId="7" fillId="0" borderId="36" xfId="1" applyFont="1" applyFill="1" applyBorder="1" applyAlignment="1" applyProtection="1">
      <alignment horizontal="centerContinuous" vertical="center"/>
      <protection locked="0"/>
    </xf>
    <xf numFmtId="0" fontId="7" fillId="0" borderId="42" xfId="1" applyFont="1" applyFill="1" applyBorder="1" applyAlignment="1" applyProtection="1">
      <alignment horizontal="centerContinuous" vertical="center"/>
      <protection locked="0"/>
    </xf>
    <xf numFmtId="0" fontId="7" fillId="0" borderId="37" xfId="1" applyFont="1" applyFill="1" applyBorder="1" applyAlignment="1" applyProtection="1">
      <alignment horizontal="centerContinuous" vertical="center"/>
      <protection locked="0"/>
    </xf>
    <xf numFmtId="0" fontId="2" fillId="0" borderId="20" xfId="1" applyFont="1" applyFill="1" applyBorder="1" applyAlignment="1" applyProtection="1">
      <alignment vertical="top"/>
      <protection locked="0"/>
    </xf>
    <xf numFmtId="167" fontId="2" fillId="0" borderId="17" xfId="1" applyNumberFormat="1" applyFont="1" applyFill="1" applyBorder="1" applyAlignment="1" applyProtection="1">
      <alignment horizontal="right" vertical="top"/>
      <protection locked="0"/>
    </xf>
    <xf numFmtId="0" fontId="2" fillId="0" borderId="3" xfId="1" applyFont="1" applyFill="1" applyBorder="1"/>
    <xf numFmtId="0" fontId="2" fillId="0" borderId="1" xfId="0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7" fillId="3" borderId="21" xfId="1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7" fillId="0" borderId="4" xfId="1" applyFont="1" applyFill="1" applyBorder="1" applyAlignment="1">
      <alignment horizontal="center"/>
    </xf>
    <xf numFmtId="0" fontId="0" fillId="0" borderId="4" xfId="0" applyBorder="1"/>
    <xf numFmtId="0" fontId="0" fillId="0" borderId="34" xfId="0" applyBorder="1"/>
    <xf numFmtId="0" fontId="0" fillId="0" borderId="22" xfId="0" applyBorder="1" applyAlignment="1">
      <alignment horizontal="left" vertical="top" wrapText="1" indent="2"/>
    </xf>
    <xf numFmtId="167" fontId="7" fillId="0" borderId="26" xfId="1" applyNumberFormat="1" applyFont="1" applyFill="1" applyBorder="1" applyAlignment="1">
      <alignment horizontal="center" vertical="top"/>
    </xf>
    <xf numFmtId="0" fontId="0" fillId="0" borderId="30" xfId="0" applyBorder="1" applyAlignment="1">
      <alignment horizontal="left" vertical="top" wrapText="1" indent="2"/>
    </xf>
    <xf numFmtId="167" fontId="7" fillId="0" borderId="32" xfId="1" applyNumberFormat="1" applyFont="1" applyFill="1" applyBorder="1" applyAlignment="1">
      <alignment horizontal="center" vertical="top"/>
    </xf>
    <xf numFmtId="0" fontId="0" fillId="3" borderId="24" xfId="0" applyFill="1" applyBorder="1" applyAlignment="1">
      <alignment vertical="top"/>
    </xf>
    <xf numFmtId="0" fontId="0" fillId="0" borderId="23" xfId="0" applyBorder="1" applyAlignment="1">
      <alignment horizontal="left" vertical="top" wrapText="1" indent="2"/>
    </xf>
    <xf numFmtId="167" fontId="7" fillId="0" borderId="28" xfId="1" applyNumberFormat="1" applyFont="1" applyFill="1" applyBorder="1" applyAlignment="1">
      <alignment horizontal="center" vertical="top"/>
    </xf>
    <xf numFmtId="0" fontId="1" fillId="0" borderId="22" xfId="1" applyFont="1" applyFill="1" applyBorder="1" applyAlignment="1" applyProtection="1">
      <alignment horizontal="left" vertical="center" indent="2"/>
      <protection locked="0"/>
    </xf>
    <xf numFmtId="0" fontId="1" fillId="0" borderId="30" xfId="1" applyFont="1" applyFill="1" applyBorder="1" applyAlignment="1" applyProtection="1">
      <alignment horizontal="left" vertical="center" indent="2"/>
      <protection locked="0"/>
    </xf>
    <xf numFmtId="0" fontId="0" fillId="0" borderId="23" xfId="1" applyFont="1" applyFill="1" applyBorder="1" applyAlignment="1" applyProtection="1">
      <alignment horizontal="left" vertical="center" indent="2"/>
      <protection locked="0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Continuous" wrapText="1"/>
    </xf>
    <xf numFmtId="0" fontId="0" fillId="0" borderId="1" xfId="0" applyFont="1" applyBorder="1" applyAlignment="1">
      <alignment horizontal="centerContinuous" wrapText="1"/>
    </xf>
    <xf numFmtId="10" fontId="1" fillId="0" borderId="32" xfId="1" applyNumberFormat="1" applyFont="1" applyFill="1" applyBorder="1" applyAlignment="1" applyProtection="1">
      <alignment horizontal="center" vertical="center"/>
      <protection locked="0"/>
    </xf>
    <xf numFmtId="167" fontId="2" fillId="3" borderId="21" xfId="1" applyNumberFormat="1" applyFont="1" applyFill="1" applyBorder="1" applyAlignment="1">
      <alignment horizontal="right" vertical="center"/>
    </xf>
    <xf numFmtId="167" fontId="2" fillId="0" borderId="18" xfId="1" applyNumberFormat="1" applyFont="1" applyFill="1" applyBorder="1" applyAlignment="1" applyProtection="1">
      <alignment horizontal="right" vertical="center"/>
      <protection locked="0"/>
    </xf>
    <xf numFmtId="168" fontId="1" fillId="0" borderId="27" xfId="1" applyNumberFormat="1" applyFont="1" applyFill="1" applyBorder="1" applyAlignment="1" applyProtection="1">
      <alignment horizontal="right" vertical="center"/>
      <protection locked="0"/>
    </xf>
    <xf numFmtId="167" fontId="2" fillId="3" borderId="28" xfId="1" applyNumberFormat="1" applyFont="1" applyFill="1" applyBorder="1" applyAlignment="1">
      <alignment horizontal="right" vertical="center"/>
    </xf>
    <xf numFmtId="0" fontId="7" fillId="0" borderId="39" xfId="1" applyFont="1" applyFill="1" applyBorder="1" applyAlignment="1">
      <alignment vertical="center"/>
    </xf>
    <xf numFmtId="0" fontId="7" fillId="0" borderId="39" xfId="1" applyFont="1" applyFill="1" applyBorder="1"/>
    <xf numFmtId="0" fontId="1" fillId="0" borderId="18" xfId="1" applyFont="1" applyFill="1" applyBorder="1" applyAlignment="1">
      <alignment vertical="center" wrapText="1"/>
    </xf>
    <xf numFmtId="0" fontId="7" fillId="0" borderId="18" xfId="1" applyFont="1" applyFill="1" applyBorder="1"/>
    <xf numFmtId="0" fontId="7" fillId="0" borderId="18" xfId="1" applyFont="1" applyFill="1" applyBorder="1" applyAlignment="1">
      <alignment vertical="center" wrapText="1"/>
    </xf>
    <xf numFmtId="0" fontId="0" fillId="0" borderId="18" xfId="0" applyFill="1" applyBorder="1"/>
    <xf numFmtId="0" fontId="0" fillId="0" borderId="39" xfId="0" applyFill="1" applyBorder="1"/>
    <xf numFmtId="167" fontId="2" fillId="0" borderId="7" xfId="1" applyNumberFormat="1" applyFont="1" applyFill="1" applyBorder="1" applyAlignment="1" applyProtection="1">
      <alignment horizontal="centerContinuous" vertical="center"/>
      <protection locked="0"/>
    </xf>
    <xf numFmtId="0" fontId="7" fillId="4" borderId="0" xfId="1" applyFont="1" applyFill="1"/>
    <xf numFmtId="0" fontId="0" fillId="0" borderId="14" xfId="1" applyFont="1" applyFill="1" applyBorder="1" applyAlignment="1" applyProtection="1">
      <alignment vertical="center"/>
      <protection locked="0"/>
    </xf>
    <xf numFmtId="4" fontId="1" fillId="0" borderId="14" xfId="1" applyNumberFormat="1" applyFont="1" applyFill="1" applyBorder="1" applyAlignment="1" applyProtection="1">
      <alignment horizontal="center" vertical="center"/>
      <protection locked="0"/>
    </xf>
    <xf numFmtId="4" fontId="1" fillId="0" borderId="15" xfId="1" applyNumberFormat="1" applyFont="1" applyFill="1" applyBorder="1" applyAlignment="1">
      <alignment horizontal="center" vertical="center"/>
    </xf>
    <xf numFmtId="4" fontId="1" fillId="0" borderId="16" xfId="1" applyNumberFormat="1" applyFont="1" applyFill="1" applyBorder="1" applyAlignment="1" applyProtection="1">
      <alignment horizontal="center" vertical="center"/>
      <protection locked="0"/>
    </xf>
    <xf numFmtId="167" fontId="1" fillId="0" borderId="15" xfId="1" applyNumberFormat="1" applyFont="1" applyFill="1" applyBorder="1" applyAlignment="1" applyProtection="1">
      <alignment horizontal="right" vertical="center"/>
      <protection locked="0"/>
    </xf>
    <xf numFmtId="167" fontId="1" fillId="0" borderId="29" xfId="1" applyNumberFormat="1" applyFont="1" applyFill="1" applyBorder="1" applyAlignment="1" applyProtection="1">
      <alignment horizontal="right" vertical="center"/>
      <protection locked="0"/>
    </xf>
    <xf numFmtId="167" fontId="2" fillId="3" borderId="24" xfId="1" applyNumberFormat="1" applyFont="1" applyFill="1" applyBorder="1" applyAlignment="1" applyProtection="1">
      <alignment horizontal="right" vertical="center"/>
      <protection locked="0"/>
    </xf>
    <xf numFmtId="167" fontId="1" fillId="0" borderId="0" xfId="1" applyNumberFormat="1" applyFont="1" applyFill="1" applyBorder="1" applyAlignment="1" applyProtection="1">
      <alignment horizontal="right" vertical="center"/>
      <protection locked="0"/>
    </xf>
    <xf numFmtId="0" fontId="1" fillId="0" borderId="11" xfId="1" applyFont="1" applyFill="1" applyBorder="1" applyAlignment="1" applyProtection="1">
      <alignment horizontal="center" vertical="center"/>
      <protection locked="0"/>
    </xf>
    <xf numFmtId="169" fontId="1" fillId="0" borderId="11" xfId="3" applyNumberFormat="1" applyFont="1" applyFill="1" applyBorder="1" applyAlignment="1">
      <alignment vertical="center"/>
    </xf>
    <xf numFmtId="167" fontId="1" fillId="0" borderId="11" xfId="1" applyNumberFormat="1" applyFont="1" applyFill="1" applyBorder="1" applyAlignment="1" applyProtection="1">
      <alignment horizontal="center" vertical="center"/>
      <protection locked="0"/>
    </xf>
    <xf numFmtId="0" fontId="1" fillId="0" borderId="12" xfId="1" applyFont="1" applyFill="1" applyBorder="1" applyAlignment="1" applyProtection="1">
      <alignment horizontal="center" vertical="center"/>
      <protection locked="0"/>
    </xf>
    <xf numFmtId="0" fontId="1" fillId="0" borderId="8" xfId="1" applyFont="1" applyFill="1" applyBorder="1" applyAlignment="1" applyProtection="1">
      <alignment vertical="center"/>
      <protection locked="0"/>
    </xf>
    <xf numFmtId="0" fontId="1" fillId="0" borderId="13" xfId="1" applyFont="1" applyFill="1" applyBorder="1" applyAlignment="1" applyProtection="1">
      <alignment horizontal="center" vertical="center"/>
      <protection locked="0"/>
    </xf>
    <xf numFmtId="167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9" xfId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vertical="center"/>
      <protection locked="0"/>
    </xf>
    <xf numFmtId="0" fontId="7" fillId="0" borderId="39" xfId="1" applyFont="1" applyFill="1" applyBorder="1" applyAlignment="1">
      <alignment horizontal="center" vertical="center"/>
    </xf>
    <xf numFmtId="0" fontId="1" fillId="0" borderId="23" xfId="1" applyFont="1" applyFill="1" applyBorder="1" applyAlignment="1" applyProtection="1">
      <alignment horizontal="left" vertical="center" indent="2"/>
      <protection locked="0"/>
    </xf>
    <xf numFmtId="0" fontId="7" fillId="0" borderId="42" xfId="1" applyFont="1" applyFill="1" applyBorder="1" applyAlignment="1">
      <alignment horizontal="centerContinuous" vertical="center"/>
    </xf>
    <xf numFmtId="0" fontId="7" fillId="0" borderId="37" xfId="1" applyFont="1" applyFill="1" applyBorder="1" applyAlignment="1">
      <alignment horizontal="centerContinuous" vertical="center"/>
    </xf>
    <xf numFmtId="0" fontId="0" fillId="0" borderId="22" xfId="1" applyFont="1" applyFill="1" applyBorder="1" applyAlignment="1" applyProtection="1">
      <alignment horizontal="left" vertical="center" indent="2"/>
      <protection locked="0"/>
    </xf>
    <xf numFmtId="0" fontId="0" fillId="0" borderId="23" xfId="1" applyFont="1" applyFill="1" applyBorder="1" applyAlignment="1">
      <alignment horizontal="left" vertical="center" indent="2"/>
    </xf>
    <xf numFmtId="0" fontId="0" fillId="0" borderId="30" xfId="1" applyFont="1" applyFill="1" applyBorder="1" applyAlignment="1" applyProtection="1">
      <alignment horizontal="left" vertical="center" indent="2"/>
      <protection locked="0"/>
    </xf>
    <xf numFmtId="0" fontId="0" fillId="0" borderId="30" xfId="1" applyFont="1" applyFill="1" applyBorder="1" applyAlignment="1">
      <alignment horizontal="left" vertical="center" indent="2"/>
    </xf>
    <xf numFmtId="167" fontId="14" fillId="0" borderId="18" xfId="1" applyNumberFormat="1" applyFont="1" applyFill="1" applyBorder="1" applyAlignment="1" applyProtection="1">
      <alignment horizontal="center"/>
      <protection locked="0"/>
    </xf>
    <xf numFmtId="167" fontId="14" fillId="0" borderId="25" xfId="1" applyNumberFormat="1" applyFont="1" applyFill="1" applyBorder="1" applyAlignment="1" applyProtection="1">
      <alignment horizontal="center" vertical="top"/>
      <protection locked="0"/>
    </xf>
    <xf numFmtId="167" fontId="14" fillId="0" borderId="31" xfId="1" applyNumberFormat="1" applyFont="1" applyFill="1" applyBorder="1" applyAlignment="1" applyProtection="1">
      <alignment horizontal="center" vertical="top"/>
      <protection locked="0"/>
    </xf>
    <xf numFmtId="167" fontId="14" fillId="0" borderId="27" xfId="1" applyNumberFormat="1" applyFont="1" applyFill="1" applyBorder="1" applyAlignment="1" applyProtection="1">
      <alignment horizontal="center" vertical="top"/>
      <protection locked="0"/>
    </xf>
    <xf numFmtId="0" fontId="14" fillId="0" borderId="25" xfId="1" applyFont="1" applyFill="1" applyBorder="1" applyAlignment="1" applyProtection="1">
      <alignment horizontal="right" vertical="center" wrapText="1"/>
      <protection locked="0"/>
    </xf>
    <xf numFmtId="0" fontId="14" fillId="0" borderId="31" xfId="1" applyFont="1" applyFill="1" applyBorder="1" applyAlignment="1" applyProtection="1">
      <alignment horizontal="right" vertical="center" wrapText="1"/>
      <protection locked="0"/>
    </xf>
    <xf numFmtId="0" fontId="14" fillId="0" borderId="27" xfId="1" applyFont="1" applyFill="1" applyBorder="1" applyAlignment="1" applyProtection="1">
      <alignment horizontal="right" vertical="center" wrapText="1"/>
      <protection locked="0"/>
    </xf>
    <xf numFmtId="0" fontId="14" fillId="0" borderId="31" xfId="1" applyFont="1" applyFill="1" applyBorder="1" applyAlignment="1" applyProtection="1">
      <alignment horizontal="right" vertical="center"/>
      <protection locked="0"/>
    </xf>
    <xf numFmtId="0" fontId="14" fillId="0" borderId="27" xfId="1" applyFont="1" applyFill="1" applyBorder="1" applyAlignment="1" applyProtection="1">
      <alignment horizontal="right" vertical="center"/>
      <protection locked="0"/>
    </xf>
    <xf numFmtId="0" fontId="14" fillId="0" borderId="38" xfId="1" applyFont="1" applyFill="1" applyBorder="1" applyAlignment="1" applyProtection="1">
      <alignment horizontal="center"/>
      <protection locked="0"/>
    </xf>
    <xf numFmtId="164" fontId="14" fillId="0" borderId="38" xfId="1" applyNumberFormat="1" applyFont="1" applyFill="1" applyBorder="1" applyAlignment="1" applyProtection="1">
      <alignment horizontal="center"/>
      <protection locked="0"/>
    </xf>
    <xf numFmtId="166" fontId="14" fillId="0" borderId="38" xfId="10" applyNumberFormat="1" applyFont="1" applyFill="1" applyBorder="1" applyAlignment="1" applyProtection="1">
      <alignment horizontal="center"/>
      <protection locked="0"/>
    </xf>
    <xf numFmtId="0" fontId="14" fillId="0" borderId="38" xfId="1" applyNumberFormat="1" applyFont="1" applyFill="1" applyBorder="1" applyAlignment="1" applyProtection="1">
      <alignment horizontal="center"/>
      <protection locked="0"/>
    </xf>
    <xf numFmtId="167" fontId="14" fillId="0" borderId="38" xfId="1" applyNumberFormat="1" applyFont="1" applyFill="1" applyBorder="1" applyAlignment="1" applyProtection="1">
      <alignment horizontal="center"/>
      <protection locked="0"/>
    </xf>
    <xf numFmtId="2" fontId="15" fillId="0" borderId="38" xfId="1" applyNumberFormat="1" applyFont="1" applyFill="1" applyBorder="1" applyAlignment="1" applyProtection="1">
      <alignment horizontal="center"/>
    </xf>
    <xf numFmtId="167" fontId="14" fillId="0" borderId="18" xfId="1" applyNumberFormat="1" applyFont="1" applyFill="1" applyBorder="1" applyAlignment="1" applyProtection="1">
      <alignment horizontal="right"/>
      <protection locked="0"/>
    </xf>
    <xf numFmtId="167" fontId="14" fillId="0" borderId="25" xfId="1" applyNumberFormat="1" applyFont="1" applyFill="1" applyBorder="1" applyAlignment="1" applyProtection="1">
      <alignment horizontal="right" vertical="top"/>
      <protection locked="0"/>
    </xf>
    <xf numFmtId="167" fontId="14" fillId="0" borderId="31" xfId="1" applyNumberFormat="1" applyFont="1" applyFill="1" applyBorder="1" applyAlignment="1" applyProtection="1">
      <alignment horizontal="right" vertical="top"/>
      <protection locked="0"/>
    </xf>
    <xf numFmtId="167" fontId="14" fillId="0" borderId="27" xfId="1" applyNumberFormat="1" applyFont="1" applyFill="1" applyBorder="1" applyAlignment="1" applyProtection="1">
      <alignment horizontal="right" vertical="top"/>
      <protection locked="0"/>
    </xf>
    <xf numFmtId="167" fontId="14" fillId="0" borderId="25" xfId="1" applyNumberFormat="1" applyFont="1" applyFill="1" applyBorder="1" applyAlignment="1" applyProtection="1">
      <alignment horizontal="right" vertical="center" wrapText="1"/>
      <protection locked="0"/>
    </xf>
    <xf numFmtId="167" fontId="14" fillId="0" borderId="27" xfId="1" applyNumberFormat="1" applyFont="1" applyFill="1" applyBorder="1" applyAlignment="1" applyProtection="1">
      <alignment horizontal="right" vertical="center" wrapText="1"/>
      <protection locked="0"/>
    </xf>
    <xf numFmtId="167" fontId="14" fillId="0" borderId="31" xfId="1" applyNumberFormat="1" applyFont="1" applyFill="1" applyBorder="1" applyAlignment="1" applyProtection="1">
      <alignment horizontal="right" vertical="center" wrapText="1"/>
      <protection locked="0"/>
    </xf>
    <xf numFmtId="167" fontId="14" fillId="0" borderId="27" xfId="1" applyNumberFormat="1" applyFont="1" applyFill="1" applyBorder="1" applyAlignment="1" applyProtection="1">
      <alignment horizontal="right" vertical="center"/>
      <protection locked="0"/>
    </xf>
    <xf numFmtId="2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10" fontId="14" fillId="0" borderId="38" xfId="1" applyNumberFormat="1" applyFont="1" applyFill="1" applyBorder="1" applyAlignment="1" applyProtection="1">
      <alignment horizontal="center"/>
      <protection locked="0"/>
    </xf>
    <xf numFmtId="0" fontId="7" fillId="0" borderId="43" xfId="1" applyFont="1" applyFill="1" applyBorder="1" applyAlignment="1">
      <alignment horizontal="center"/>
    </xf>
    <xf numFmtId="0" fontId="7" fillId="0" borderId="43" xfId="1" applyFont="1" applyFill="1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43" xfId="1" applyFont="1" applyFill="1" applyBorder="1" applyAlignment="1">
      <alignment horizontal="center" vertical="center"/>
    </xf>
    <xf numFmtId="2" fontId="0" fillId="0" borderId="43" xfId="1" applyNumberFormat="1" applyFont="1" applyFill="1" applyBorder="1" applyAlignment="1" applyProtection="1">
      <alignment horizontal="center" vertical="center"/>
      <protection locked="0"/>
    </xf>
    <xf numFmtId="170" fontId="7" fillId="0" borderId="43" xfId="1" applyNumberFormat="1" applyFont="1" applyFill="1" applyBorder="1" applyAlignment="1">
      <alignment horizontal="center"/>
    </xf>
    <xf numFmtId="0" fontId="10" fillId="0" borderId="44" xfId="1" applyFont="1" applyFill="1" applyBorder="1" applyAlignment="1">
      <alignment horizontal="center"/>
    </xf>
    <xf numFmtId="0" fontId="7" fillId="3" borderId="43" xfId="1" applyFont="1" applyFill="1" applyBorder="1" applyAlignment="1">
      <alignment horizontal="center"/>
    </xf>
    <xf numFmtId="0" fontId="10" fillId="0" borderId="43" xfId="1" applyFont="1" applyFill="1" applyBorder="1" applyAlignment="1">
      <alignment horizontal="center"/>
    </xf>
    <xf numFmtId="0" fontId="0" fillId="0" borderId="39" xfId="0" applyBorder="1"/>
    <xf numFmtId="0" fontId="0" fillId="0" borderId="24" xfId="0" applyBorder="1"/>
    <xf numFmtId="0" fontId="15" fillId="0" borderId="38" xfId="1" applyFont="1" applyFill="1" applyBorder="1" applyAlignment="1" applyProtection="1">
      <alignment horizontal="center"/>
    </xf>
    <xf numFmtId="0" fontId="0" fillId="0" borderId="23" xfId="1" applyFont="1" applyFill="1" applyBorder="1" applyAlignment="1" applyProtection="1">
      <alignment horizontal="left" vertical="center" wrapText="1" indent="2"/>
      <protection locked="0"/>
    </xf>
    <xf numFmtId="0" fontId="0" fillId="0" borderId="38" xfId="0" applyBorder="1" applyAlignment="1" applyProtection="1">
      <alignment horizontal="center"/>
      <protection locked="0"/>
    </xf>
    <xf numFmtId="0" fontId="10" fillId="0" borderId="21" xfId="1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1" xfId="0" applyFill="1" applyBorder="1" applyAlignment="1">
      <alignment horizontal="left"/>
    </xf>
    <xf numFmtId="0" fontId="7" fillId="0" borderId="21" xfId="1" applyFont="1" applyFill="1" applyBorder="1" applyAlignment="1">
      <alignment horizontal="left" vertical="center"/>
    </xf>
    <xf numFmtId="0" fontId="0" fillId="0" borderId="21" xfId="1" applyFont="1" applyFill="1" applyBorder="1" applyAlignment="1">
      <alignment horizontal="left" vertical="center"/>
    </xf>
    <xf numFmtId="0" fontId="0" fillId="0" borderId="21" xfId="1" applyFont="1" applyFill="1" applyBorder="1" applyAlignment="1" applyProtection="1">
      <alignment horizontal="left" vertical="center"/>
      <protection locked="0"/>
    </xf>
    <xf numFmtId="0" fontId="7" fillId="0" borderId="21" xfId="1" applyFont="1" applyFill="1" applyBorder="1" applyAlignment="1">
      <alignment horizontal="left"/>
    </xf>
    <xf numFmtId="0" fontId="10" fillId="0" borderId="44" xfId="1" applyFont="1" applyFill="1" applyBorder="1" applyAlignment="1">
      <alignment horizontal="left"/>
    </xf>
    <xf numFmtId="0" fontId="15" fillId="5" borderId="38" xfId="1" applyFont="1" applyFill="1" applyBorder="1" applyAlignment="1" applyProtection="1">
      <alignment horizontal="center"/>
    </xf>
    <xf numFmtId="0" fontId="0" fillId="0" borderId="23" xfId="1" applyFont="1" applyFill="1" applyBorder="1" applyAlignment="1">
      <alignment horizontal="left" vertical="center"/>
    </xf>
    <xf numFmtId="167" fontId="16" fillId="5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/>
    <xf numFmtId="16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 vertical="top" wrapText="1" indent="2"/>
    </xf>
    <xf numFmtId="0" fontId="0" fillId="0" borderId="0" xfId="1" applyFont="1" applyFill="1" applyBorder="1" applyAlignment="1">
      <alignment horizontal="centerContinuous" vertical="center"/>
    </xf>
    <xf numFmtId="167" fontId="7" fillId="0" borderId="0" xfId="1" applyNumberFormat="1" applyFont="1" applyFill="1" applyBorder="1" applyAlignment="1">
      <alignment horizontal="center" vertical="center"/>
    </xf>
    <xf numFmtId="0" fontId="0" fillId="0" borderId="48" xfId="1" applyFont="1" applyFill="1" applyBorder="1" applyAlignment="1">
      <alignment horizontal="centerContinuous" vertical="center"/>
    </xf>
    <xf numFmtId="0" fontId="0" fillId="0" borderId="3" xfId="0" applyBorder="1" applyAlignment="1">
      <alignment horizontal="left" vertical="top" wrapText="1" indent="2"/>
    </xf>
    <xf numFmtId="0" fontId="0" fillId="0" borderId="5" xfId="1" applyFont="1" applyFill="1" applyBorder="1" applyAlignment="1">
      <alignment horizontal="centerContinuous" vertical="center"/>
    </xf>
    <xf numFmtId="0" fontId="0" fillId="0" borderId="30" xfId="1" applyFont="1" applyFill="1" applyBorder="1" applyAlignment="1">
      <alignment horizontal="centerContinuous" vertical="center"/>
    </xf>
    <xf numFmtId="0" fontId="0" fillId="0" borderId="3" xfId="1" applyFont="1" applyFill="1" applyBorder="1" applyAlignment="1">
      <alignment horizontal="centerContinuous" vertical="center"/>
    </xf>
    <xf numFmtId="0" fontId="0" fillId="0" borderId="17" xfId="0" applyFill="1" applyBorder="1"/>
    <xf numFmtId="167" fontId="7" fillId="0" borderId="49" xfId="1" applyNumberFormat="1" applyFont="1" applyFill="1" applyBorder="1" applyAlignment="1">
      <alignment horizontal="center" vertical="center"/>
    </xf>
    <xf numFmtId="0" fontId="7" fillId="0" borderId="49" xfId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/>
    </xf>
    <xf numFmtId="0" fontId="0" fillId="0" borderId="31" xfId="0" applyFill="1" applyBorder="1"/>
    <xf numFmtId="167" fontId="7" fillId="0" borderId="50" xfId="1" applyNumberFormat="1" applyFont="1" applyFill="1" applyBorder="1" applyAlignment="1">
      <alignment horizontal="center" vertical="center"/>
    </xf>
    <xf numFmtId="167" fontId="10" fillId="0" borderId="50" xfId="1" applyNumberFormat="1" applyFont="1" applyFill="1" applyBorder="1" applyAlignment="1" applyProtection="1">
      <alignment horizontal="center" vertical="center"/>
      <protection locked="0"/>
    </xf>
    <xf numFmtId="0" fontId="7" fillId="0" borderId="50" xfId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left"/>
    </xf>
    <xf numFmtId="0" fontId="0" fillId="0" borderId="27" xfId="0" applyFill="1" applyBorder="1"/>
    <xf numFmtId="167" fontId="7" fillId="0" borderId="51" xfId="1" applyNumberFormat="1" applyFont="1" applyFill="1" applyBorder="1" applyAlignment="1">
      <alignment horizontal="center" vertical="center"/>
    </xf>
    <xf numFmtId="0" fontId="7" fillId="0" borderId="51" xfId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left"/>
    </xf>
    <xf numFmtId="0" fontId="0" fillId="0" borderId="52" xfId="0" applyFill="1" applyBorder="1"/>
    <xf numFmtId="167" fontId="7" fillId="0" borderId="53" xfId="1" applyNumberFormat="1" applyFont="1" applyFill="1" applyBorder="1" applyAlignment="1">
      <alignment horizontal="center" vertical="center"/>
    </xf>
    <xf numFmtId="0" fontId="7" fillId="0" borderId="53" xfId="1" applyFont="1" applyFill="1" applyBorder="1" applyAlignment="1">
      <alignment horizontal="center" vertical="center"/>
    </xf>
    <xf numFmtId="0" fontId="0" fillId="0" borderId="54" xfId="0" applyFill="1" applyBorder="1" applyAlignment="1">
      <alignment horizontal="left"/>
    </xf>
    <xf numFmtId="0" fontId="0" fillId="0" borderId="22" xfId="0" applyFill="1" applyBorder="1"/>
    <xf numFmtId="167" fontId="7" fillId="0" borderId="40" xfId="1" applyNumberFormat="1" applyFont="1" applyFill="1" applyBorder="1" applyAlignment="1">
      <alignment horizontal="center" vertical="center"/>
    </xf>
    <xf numFmtId="167" fontId="10" fillId="0" borderId="40" xfId="1" applyNumberFormat="1" applyFont="1" applyFill="1" applyBorder="1" applyAlignment="1" applyProtection="1">
      <alignment horizontal="center" vertical="center"/>
      <protection locked="0"/>
    </xf>
    <xf numFmtId="0" fontId="7" fillId="0" borderId="40" xfId="1" applyFont="1" applyFill="1" applyBorder="1" applyAlignment="1">
      <alignment horizontal="center" vertical="center"/>
    </xf>
    <xf numFmtId="0" fontId="0" fillId="0" borderId="35" xfId="0" applyFill="1" applyBorder="1" applyAlignment="1">
      <alignment horizontal="left"/>
    </xf>
    <xf numFmtId="0" fontId="0" fillId="0" borderId="46" xfId="0" applyFill="1" applyBorder="1"/>
    <xf numFmtId="167" fontId="7" fillId="0" borderId="55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 applyProtection="1">
      <alignment horizontal="centerContinuous" vertical="center"/>
      <protection locked="0"/>
    </xf>
    <xf numFmtId="0" fontId="0" fillId="0" borderId="45" xfId="0" applyBorder="1" applyAlignment="1">
      <alignment horizontal="left" vertical="top" wrapText="1" indent="2"/>
    </xf>
    <xf numFmtId="0" fontId="0" fillId="0" borderId="45" xfId="1" applyFont="1" applyFill="1" applyBorder="1" applyAlignment="1">
      <alignment horizontal="centerContinuous" vertical="center"/>
    </xf>
    <xf numFmtId="0" fontId="0" fillId="0" borderId="23" xfId="1" applyFont="1" applyFill="1" applyBorder="1" applyAlignment="1">
      <alignment horizontal="centerContinuous" vertical="center"/>
    </xf>
    <xf numFmtId="0" fontId="0" fillId="0" borderId="30" xfId="0" applyFill="1" applyBorder="1" applyAlignment="1">
      <alignment horizontal="left" vertical="top" wrapText="1" indent="2"/>
    </xf>
    <xf numFmtId="0" fontId="0" fillId="0" borderId="20" xfId="1" applyFont="1" applyFill="1" applyBorder="1" applyAlignment="1" applyProtection="1">
      <alignment horizontal="centerContinuous" vertical="center"/>
      <protection locked="0"/>
    </xf>
    <xf numFmtId="9" fontId="7" fillId="0" borderId="41" xfId="1" applyNumberFormat="1" applyFont="1" applyFill="1" applyBorder="1" applyAlignment="1">
      <alignment horizontal="center" vertical="top"/>
    </xf>
    <xf numFmtId="9" fontId="7" fillId="0" borderId="0" xfId="1" applyNumberFormat="1" applyFont="1" applyFill="1" applyBorder="1" applyAlignment="1">
      <alignment horizontal="center" vertical="top"/>
    </xf>
    <xf numFmtId="9" fontId="0" fillId="0" borderId="6" xfId="0" applyNumberFormat="1" applyFill="1" applyBorder="1" applyAlignment="1">
      <alignment horizontal="center" vertical="top"/>
    </xf>
    <xf numFmtId="9" fontId="7" fillId="0" borderId="0" xfId="1" applyNumberFormat="1" applyFont="1" applyFill="1" applyAlignment="1">
      <alignment horizontal="center"/>
    </xf>
    <xf numFmtId="9" fontId="7" fillId="0" borderId="7" xfId="1" applyNumberFormat="1" applyFont="1" applyFill="1" applyBorder="1" applyAlignment="1">
      <alignment horizontal="center" vertical="top"/>
    </xf>
    <xf numFmtId="9" fontId="7" fillId="0" borderId="7" xfId="1" applyNumberFormat="1" applyFont="1" applyFill="1" applyBorder="1" applyAlignment="1">
      <alignment horizontal="center"/>
    </xf>
    <xf numFmtId="9" fontId="0" fillId="0" borderId="0" xfId="0" applyNumberFormat="1" applyFill="1" applyAlignment="1">
      <alignment horizontal="center"/>
    </xf>
    <xf numFmtId="9" fontId="2" fillId="0" borderId="1" xfId="1" applyNumberFormat="1" applyFont="1" applyFill="1" applyBorder="1" applyAlignment="1">
      <alignment horizontal="center" vertical="center"/>
    </xf>
    <xf numFmtId="9" fontId="2" fillId="0" borderId="16" xfId="1" applyNumberFormat="1" applyFont="1" applyFill="1" applyBorder="1" applyAlignment="1">
      <alignment horizontal="center" vertical="center"/>
    </xf>
    <xf numFmtId="9" fontId="0" fillId="0" borderId="15" xfId="1" applyNumberFormat="1" applyFont="1" applyFill="1" applyBorder="1" applyAlignment="1" applyProtection="1">
      <alignment horizontal="center" vertical="center"/>
      <protection locked="0"/>
    </xf>
    <xf numFmtId="9" fontId="0" fillId="0" borderId="29" xfId="1" applyNumberFormat="1" applyFont="1" applyFill="1" applyBorder="1" applyAlignment="1" applyProtection="1">
      <alignment horizontal="center" vertical="center"/>
      <protection locked="0"/>
    </xf>
    <xf numFmtId="0" fontId="0" fillId="0" borderId="3" xfId="1" applyFont="1" applyFill="1" applyBorder="1" applyAlignment="1">
      <alignment horizontal="centerContinuous" vertical="center" shrinkToFit="1"/>
    </xf>
    <xf numFmtId="0" fontId="0" fillId="0" borderId="5" xfId="1" applyFont="1" applyFill="1" applyBorder="1" applyAlignment="1">
      <alignment horizontal="centerContinuous" vertical="center" shrinkToFit="1"/>
    </xf>
    <xf numFmtId="0" fontId="0" fillId="0" borderId="20" xfId="1" applyFont="1" applyFill="1" applyBorder="1" applyAlignment="1" applyProtection="1">
      <alignment horizontal="left" vertical="center" indent="2"/>
      <protection locked="0"/>
    </xf>
    <xf numFmtId="0" fontId="1" fillId="0" borderId="41" xfId="1" applyFont="1" applyFill="1" applyBorder="1" applyAlignment="1" applyProtection="1">
      <alignment horizontal="centerContinuous" vertical="center"/>
      <protection locked="0"/>
    </xf>
    <xf numFmtId="0" fontId="1" fillId="0" borderId="41" xfId="1" applyFont="1" applyFill="1" applyBorder="1" applyAlignment="1">
      <alignment horizontal="centerContinuous" vertical="center"/>
    </xf>
    <xf numFmtId="0" fontId="1" fillId="0" borderId="42" xfId="1" applyFont="1" applyFill="1" applyBorder="1" applyAlignment="1" applyProtection="1">
      <alignment horizontal="centerContinuous" vertical="center"/>
      <protection locked="0"/>
    </xf>
    <xf numFmtId="9" fontId="0" fillId="0" borderId="14" xfId="1" applyNumberFormat="1" applyFont="1" applyFill="1" applyBorder="1" applyAlignment="1" applyProtection="1">
      <alignment horizontal="center" vertical="center"/>
      <protection locked="0"/>
    </xf>
    <xf numFmtId="9" fontId="0" fillId="0" borderId="16" xfId="1" applyNumberFormat="1" applyFont="1" applyFill="1" applyBorder="1" applyAlignment="1" applyProtection="1">
      <alignment horizontal="center" vertical="center"/>
      <protection locked="0"/>
    </xf>
    <xf numFmtId="0" fontId="19" fillId="0" borderId="30" xfId="1" applyFont="1" applyFill="1" applyBorder="1" applyAlignment="1">
      <alignment horizontal="centerContinuous" vertical="center"/>
    </xf>
    <xf numFmtId="0" fontId="20" fillId="0" borderId="6" xfId="1" applyFont="1" applyFill="1" applyBorder="1" applyAlignment="1" applyProtection="1">
      <alignment horizontal="centerContinuous" vertical="center"/>
      <protection locked="0"/>
    </xf>
    <xf numFmtId="0" fontId="19" fillId="0" borderId="6" xfId="1" applyFont="1" applyFill="1" applyBorder="1" applyAlignment="1" applyProtection="1">
      <alignment horizontal="centerContinuous" vertical="center" shrinkToFit="1"/>
      <protection locked="0"/>
    </xf>
    <xf numFmtId="0" fontId="0" fillId="0" borderId="33" xfId="1" applyFont="1" applyFill="1" applyBorder="1" applyAlignment="1" applyProtection="1">
      <alignment horizontal="centerContinuous" vertical="center" shrinkToFit="1"/>
      <protection locked="0"/>
    </xf>
    <xf numFmtId="167" fontId="7" fillId="0" borderId="39" xfId="1" applyNumberFormat="1" applyFont="1" applyFill="1" applyBorder="1" applyAlignment="1" applyProtection="1">
      <alignment horizontal="center" vertical="center"/>
      <protection locked="0"/>
    </xf>
    <xf numFmtId="167" fontId="7" fillId="0" borderId="50" xfId="1" applyNumberFormat="1" applyFont="1" applyFill="1" applyBorder="1" applyAlignment="1" applyProtection="1">
      <alignment horizontal="center" vertical="center"/>
      <protection locked="0"/>
    </xf>
    <xf numFmtId="167" fontId="7" fillId="0" borderId="51" xfId="1" applyNumberFormat="1" applyFont="1" applyFill="1" applyBorder="1" applyAlignment="1" applyProtection="1">
      <alignment horizontal="center" vertical="center"/>
      <protection locked="0"/>
    </xf>
    <xf numFmtId="167" fontId="7" fillId="0" borderId="49" xfId="1" applyNumberFormat="1" applyFont="1" applyFill="1" applyBorder="1" applyAlignment="1" applyProtection="1">
      <alignment horizontal="center" vertical="center"/>
      <protection locked="0"/>
    </xf>
    <xf numFmtId="167" fontId="7" fillId="0" borderId="55" xfId="1" applyNumberFormat="1" applyFont="1" applyFill="1" applyBorder="1" applyAlignment="1" applyProtection="1">
      <alignment horizontal="center" vertical="center"/>
      <protection locked="0"/>
    </xf>
    <xf numFmtId="167" fontId="7" fillId="0" borderId="53" xfId="1" applyNumberFormat="1" applyFont="1" applyFill="1" applyBorder="1" applyAlignment="1" applyProtection="1">
      <alignment horizontal="center" vertical="center"/>
      <protection locked="0"/>
    </xf>
    <xf numFmtId="0" fontId="1" fillId="0" borderId="39" xfId="1" applyFont="1" applyFill="1" applyBorder="1" applyAlignment="1">
      <alignment horizontal="center"/>
    </xf>
    <xf numFmtId="0" fontId="1" fillId="0" borderId="45" xfId="1" applyFont="1" applyFill="1" applyBorder="1" applyAlignment="1" applyProtection="1">
      <alignment horizontal="left" vertical="center" indent="2"/>
      <protection locked="0"/>
    </xf>
    <xf numFmtId="0" fontId="19" fillId="0" borderId="56" xfId="1" applyFont="1" applyFill="1" applyBorder="1" applyAlignment="1" applyProtection="1">
      <alignment horizontal="centerContinuous" vertical="center"/>
      <protection locked="0"/>
    </xf>
    <xf numFmtId="0" fontId="1" fillId="0" borderId="48" xfId="1" applyFont="1" applyFill="1" applyBorder="1" applyAlignment="1" applyProtection="1">
      <alignment horizontal="centerContinuous" vertical="center"/>
      <protection locked="0"/>
    </xf>
    <xf numFmtId="166" fontId="1" fillId="0" borderId="59" xfId="1" applyNumberFormat="1" applyFont="1" applyFill="1" applyBorder="1" applyAlignment="1" applyProtection="1">
      <alignment horizontal="center" vertical="center"/>
      <protection locked="0"/>
    </xf>
    <xf numFmtId="0" fontId="1" fillId="0" borderId="56" xfId="1" applyFont="1" applyFill="1" applyBorder="1" applyAlignment="1" applyProtection="1">
      <alignment horizontal="centerContinuous" vertical="center"/>
      <protection locked="0"/>
    </xf>
    <xf numFmtId="0" fontId="7" fillId="0" borderId="48" xfId="1" applyFont="1" applyFill="1" applyBorder="1" applyAlignment="1" applyProtection="1">
      <alignment horizontal="centerContinuous" vertical="center"/>
      <protection locked="0"/>
    </xf>
    <xf numFmtId="0" fontId="0" fillId="0" borderId="20" xfId="1" applyFont="1" applyFill="1" applyBorder="1" applyAlignment="1">
      <alignment horizontal="left" vertical="center"/>
    </xf>
    <xf numFmtId="0" fontId="0" fillId="0" borderId="0" xfId="1" applyFont="1" applyFill="1" applyBorder="1" applyAlignment="1" applyProtection="1">
      <alignment vertical="center"/>
      <protection locked="0"/>
    </xf>
    <xf numFmtId="0" fontId="0" fillId="0" borderId="45" xfId="1" applyFont="1" applyFill="1" applyBorder="1" applyAlignment="1" applyProtection="1">
      <alignment horizontal="left" vertical="center" indent="2"/>
      <protection locked="0"/>
    </xf>
    <xf numFmtId="9" fontId="0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centerContinuous" vertical="center"/>
      <protection locked="0"/>
    </xf>
    <xf numFmtId="0" fontId="1" fillId="0" borderId="0" xfId="1" applyFont="1" applyFill="1" applyBorder="1" applyAlignment="1" applyProtection="1">
      <alignment horizontal="centerContinuous" vertical="center"/>
      <protection locked="0"/>
    </xf>
    <xf numFmtId="0" fontId="1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/>
    </xf>
    <xf numFmtId="0" fontId="0" fillId="0" borderId="56" xfId="1" applyFont="1" applyFill="1" applyBorder="1" applyAlignment="1" applyProtection="1">
      <alignment horizontal="centerContinuous" vertical="center"/>
      <protection locked="0"/>
    </xf>
    <xf numFmtId="43" fontId="7" fillId="0" borderId="0" xfId="11" applyFont="1" applyFill="1" applyAlignment="1">
      <alignment horizontal="center"/>
    </xf>
    <xf numFmtId="44" fontId="1" fillId="0" borderId="18" xfId="12" applyFont="1" applyFill="1" applyBorder="1" applyAlignment="1">
      <alignment vertical="center" wrapText="1"/>
    </xf>
    <xf numFmtId="10" fontId="7" fillId="0" borderId="39" xfId="10" applyNumberFormat="1" applyFont="1" applyFill="1" applyBorder="1" applyAlignment="1">
      <alignment horizontal="center"/>
    </xf>
    <xf numFmtId="169" fontId="0" fillId="0" borderId="0" xfId="12" applyNumberFormat="1" applyFont="1"/>
    <xf numFmtId="0" fontId="1" fillId="0" borderId="61" xfId="1" applyFont="1" applyFill="1" applyBorder="1" applyAlignment="1" applyProtection="1">
      <alignment vertical="center"/>
      <protection locked="0"/>
    </xf>
    <xf numFmtId="166" fontId="1" fillId="0" borderId="16" xfId="1" applyNumberFormat="1" applyFont="1" applyFill="1" applyBorder="1" applyAlignment="1" applyProtection="1">
      <alignment horizontal="center" vertical="center"/>
      <protection locked="0"/>
    </xf>
    <xf numFmtId="169" fontId="7" fillId="0" borderId="0" xfId="12" applyNumberFormat="1" applyFont="1" applyFill="1" applyAlignment="1">
      <alignment horizontal="left"/>
    </xf>
    <xf numFmtId="171" fontId="0" fillId="0" borderId="0" xfId="11" applyNumberFormat="1" applyFont="1" applyFill="1"/>
    <xf numFmtId="0" fontId="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0" fillId="0" borderId="15" xfId="0" applyBorder="1"/>
    <xf numFmtId="167" fontId="0" fillId="0" borderId="15" xfId="0" applyNumberFormat="1" applyBorder="1"/>
    <xf numFmtId="0" fontId="0" fillId="0" borderId="29" xfId="0" applyBorder="1"/>
    <xf numFmtId="167" fontId="0" fillId="0" borderId="29" xfId="0" applyNumberFormat="1" applyBorder="1"/>
    <xf numFmtId="167" fontId="0" fillId="0" borderId="16" xfId="0" applyNumberFormat="1" applyBorder="1"/>
    <xf numFmtId="0" fontId="2" fillId="0" borderId="1" xfId="0" applyFont="1" applyBorder="1" applyAlignment="1">
      <alignment vertical="top" wrapText="1"/>
    </xf>
    <xf numFmtId="3" fontId="0" fillId="0" borderId="15" xfId="0" applyNumberFormat="1" applyBorder="1"/>
    <xf numFmtId="3" fontId="0" fillId="0" borderId="29" xfId="0" applyNumberFormat="1" applyBorder="1"/>
    <xf numFmtId="3" fontId="0" fillId="0" borderId="16" xfId="0" applyNumberFormat="1" applyBorder="1"/>
    <xf numFmtId="0" fontId="2" fillId="0" borderId="15" xfId="0" applyFont="1" applyBorder="1"/>
    <xf numFmtId="0" fontId="2" fillId="0" borderId="16" xfId="0" applyFont="1" applyBorder="1"/>
    <xf numFmtId="0" fontId="0" fillId="0" borderId="1" xfId="0" applyBorder="1"/>
    <xf numFmtId="0" fontId="0" fillId="0" borderId="59" xfId="0" applyBorder="1"/>
    <xf numFmtId="167" fontId="0" fillId="0" borderId="59" xfId="0" applyNumberFormat="1" applyBorder="1"/>
    <xf numFmtId="3" fontId="0" fillId="0" borderId="59" xfId="0" applyNumberFormat="1" applyBorder="1"/>
    <xf numFmtId="0" fontId="0" fillId="0" borderId="0" xfId="0" applyFill="1"/>
    <xf numFmtId="0" fontId="7" fillId="0" borderId="0" xfId="0" applyFont="1"/>
    <xf numFmtId="0" fontId="29" fillId="0" borderId="0" xfId="0" applyFont="1" applyBorder="1" applyAlignment="1">
      <alignment horizontal="centerContinuous"/>
    </xf>
    <xf numFmtId="0" fontId="0" fillId="0" borderId="3" xfId="0" applyBorder="1" applyAlignment="1">
      <alignment horizontal="left" vertical="top" wrapText="1"/>
    </xf>
    <xf numFmtId="167" fontId="8" fillId="0" borderId="7" xfId="1" applyNumberFormat="1" applyFont="1" applyFill="1" applyBorder="1" applyAlignment="1">
      <alignment vertical="center"/>
    </xf>
    <xf numFmtId="9" fontId="7" fillId="0" borderId="56" xfId="1" applyNumberFormat="1" applyFont="1" applyFill="1" applyBorder="1" applyAlignment="1">
      <alignment horizontal="center" vertical="top"/>
    </xf>
    <xf numFmtId="0" fontId="19" fillId="0" borderId="45" xfId="1" applyFont="1" applyFill="1" applyBorder="1" applyAlignment="1">
      <alignment horizontal="centerContinuous" vertical="center"/>
    </xf>
    <xf numFmtId="166" fontId="14" fillId="0" borderId="41" xfId="1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 indent="2"/>
    </xf>
    <xf numFmtId="0" fontId="0" fillId="0" borderId="7" xfId="1" applyFont="1" applyFill="1" applyBorder="1" applyAlignment="1">
      <alignment horizontal="centerContinuous" vertical="center"/>
    </xf>
    <xf numFmtId="0" fontId="0" fillId="0" borderId="3" xfId="0" applyFont="1" applyBorder="1" applyAlignment="1">
      <alignment horizontal="left"/>
    </xf>
    <xf numFmtId="0" fontId="7" fillId="0" borderId="7" xfId="1" applyFont="1" applyFill="1" applyBorder="1" applyAlignment="1">
      <alignment horizontal="center"/>
    </xf>
    <xf numFmtId="9" fontId="7" fillId="0" borderId="42" xfId="1" applyNumberFormat="1" applyFont="1" applyFill="1" applyBorder="1" applyAlignment="1">
      <alignment horizontal="center" vertical="top"/>
    </xf>
    <xf numFmtId="9" fontId="1" fillId="0" borderId="59" xfId="1" applyNumberFormat="1" applyFont="1" applyFill="1" applyBorder="1" applyAlignment="1" applyProtection="1">
      <alignment horizontal="center" vertical="center"/>
      <protection locked="0"/>
    </xf>
    <xf numFmtId="0" fontId="0" fillId="0" borderId="45" xfId="1" applyFont="1" applyFill="1" applyBorder="1" applyAlignment="1" applyProtection="1">
      <alignment horizontal="centerContinuous" vertical="center"/>
      <protection locked="0"/>
    </xf>
    <xf numFmtId="0" fontId="0" fillId="0" borderId="48" xfId="1" applyFont="1" applyFill="1" applyBorder="1" applyAlignment="1" applyProtection="1">
      <alignment horizontal="centerContinuous" vertical="center"/>
      <protection locked="0"/>
    </xf>
    <xf numFmtId="9" fontId="0" fillId="0" borderId="7" xfId="0" applyNumberFormat="1" applyFill="1" applyBorder="1" applyAlignment="1">
      <alignment horizontal="center"/>
    </xf>
    <xf numFmtId="9" fontId="0" fillId="0" borderId="59" xfId="1" applyNumberFormat="1" applyFont="1" applyFill="1" applyBorder="1" applyAlignment="1" applyProtection="1">
      <alignment horizontal="center" vertical="center"/>
      <protection locked="0"/>
    </xf>
    <xf numFmtId="0" fontId="7" fillId="0" borderId="53" xfId="1" applyFont="1" applyFill="1" applyBorder="1" applyAlignment="1">
      <alignment vertical="center"/>
    </xf>
    <xf numFmtId="0" fontId="7" fillId="0" borderId="54" xfId="1" applyFont="1" applyFill="1" applyBorder="1" applyAlignment="1">
      <alignment horizontal="left" vertical="center"/>
    </xf>
    <xf numFmtId="9" fontId="7" fillId="0" borderId="0" xfId="1" applyNumberFormat="1" applyFont="1" applyFill="1" applyAlignment="1">
      <alignment wrapText="1"/>
    </xf>
    <xf numFmtId="0" fontId="2" fillId="0" borderId="23" xfId="1" applyFont="1" applyFill="1" applyBorder="1" applyAlignment="1" applyProtection="1">
      <alignment vertical="center"/>
      <protection locked="0"/>
    </xf>
    <xf numFmtId="0" fontId="0" fillId="11" borderId="38" xfId="1" applyFont="1" applyFill="1" applyBorder="1" applyAlignment="1">
      <alignment horizontal="left" wrapText="1"/>
    </xf>
    <xf numFmtId="0" fontId="0" fillId="0" borderId="0" xfId="0" applyFill="1" applyAlignment="1">
      <alignment horizontal="center"/>
    </xf>
    <xf numFmtId="172" fontId="2" fillId="0" borderId="39" xfId="1" applyNumberFormat="1" applyFont="1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>
      <alignment horizontal="center"/>
    </xf>
    <xf numFmtId="0" fontId="0" fillId="0" borderId="7" xfId="0" applyFill="1" applyBorder="1"/>
    <xf numFmtId="2" fontId="1" fillId="0" borderId="7" xfId="1" applyNumberFormat="1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170" fontId="7" fillId="0" borderId="0" xfId="1" applyNumberFormat="1" applyFont="1" applyFill="1" applyBorder="1" applyAlignment="1">
      <alignment horizontal="center"/>
    </xf>
    <xf numFmtId="0" fontId="1" fillId="11" borderId="0" xfId="1" applyFont="1" applyFill="1" applyAlignment="1">
      <alignment horizontal="center" wrapText="1"/>
    </xf>
    <xf numFmtId="0" fontId="1" fillId="11" borderId="6" xfId="1" applyFont="1" applyFill="1" applyBorder="1" applyAlignment="1">
      <alignment horizontal="center"/>
    </xf>
    <xf numFmtId="0" fontId="2" fillId="11" borderId="0" xfId="1" applyFont="1" applyFill="1" applyAlignment="1">
      <alignment horizontal="center" wrapText="1"/>
    </xf>
    <xf numFmtId="0" fontId="1" fillId="11" borderId="38" xfId="1" applyFont="1" applyFill="1" applyBorder="1" applyAlignment="1">
      <alignment horizontal="left" wrapText="1"/>
    </xf>
    <xf numFmtId="2" fontId="0" fillId="0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quotePrefix="1" applyFont="1" applyFill="1" applyAlignment="1">
      <alignment vertical="center"/>
    </xf>
    <xf numFmtId="9" fontId="15" fillId="0" borderId="41" xfId="1" applyNumberFormat="1" applyFont="1" applyFill="1" applyBorder="1" applyAlignment="1">
      <alignment horizontal="center" vertical="top"/>
    </xf>
    <xf numFmtId="0" fontId="0" fillId="0" borderId="66" xfId="0" applyBorder="1" applyAlignment="1">
      <alignment horizontal="left" vertical="top" wrapText="1" indent="2"/>
    </xf>
    <xf numFmtId="0" fontId="0" fillId="0" borderId="65" xfId="0" applyFill="1" applyBorder="1"/>
    <xf numFmtId="0" fontId="0" fillId="0" borderId="66" xfId="0" applyFill="1" applyBorder="1" applyAlignment="1">
      <alignment horizontal="left" vertical="top" wrapText="1" indent="2"/>
    </xf>
    <xf numFmtId="0" fontId="0" fillId="0" borderId="66" xfId="0" applyBorder="1"/>
    <xf numFmtId="0" fontId="0" fillId="0" borderId="66" xfId="0" applyBorder="1" applyAlignment="1">
      <alignment wrapText="1"/>
    </xf>
    <xf numFmtId="0" fontId="2" fillId="0" borderId="66" xfId="0" applyFont="1" applyBorder="1"/>
    <xf numFmtId="0" fontId="0" fillId="0" borderId="66" xfId="1" applyFont="1" applyFill="1" applyBorder="1" applyAlignment="1">
      <alignment vertical="center"/>
    </xf>
    <xf numFmtId="0" fontId="0" fillId="0" borderId="66" xfId="1" applyFont="1" applyFill="1" applyBorder="1" applyAlignment="1" applyProtection="1">
      <alignment vertical="center"/>
      <protection locked="0"/>
    </xf>
    <xf numFmtId="0" fontId="2" fillId="0" borderId="66" xfId="1" applyFont="1" applyFill="1" applyBorder="1" applyAlignment="1" applyProtection="1">
      <alignment vertical="center"/>
      <protection locked="0"/>
    </xf>
    <xf numFmtId="0" fontId="0" fillId="0" borderId="67" xfId="1" applyFont="1" applyFill="1" applyBorder="1" applyAlignment="1" applyProtection="1">
      <alignment vertical="center"/>
      <protection locked="0"/>
    </xf>
    <xf numFmtId="0" fontId="0" fillId="0" borderId="69" xfId="0" applyFill="1" applyBorder="1"/>
    <xf numFmtId="0" fontId="2" fillId="0" borderId="7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/>
    </xf>
    <xf numFmtId="43" fontId="0" fillId="0" borderId="65" xfId="11" applyFont="1" applyFill="1" applyBorder="1"/>
    <xf numFmtId="173" fontId="0" fillId="0" borderId="65" xfId="11" applyNumberFormat="1" applyFont="1" applyFill="1" applyBorder="1"/>
    <xf numFmtId="0" fontId="0" fillId="0" borderId="3" xfId="0" applyFill="1" applyBorder="1"/>
    <xf numFmtId="0" fontId="0" fillId="0" borderId="68" xfId="0" applyFill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0" fillId="0" borderId="65" xfId="11" applyNumberFormat="1" applyFont="1" applyFill="1" applyBorder="1"/>
    <xf numFmtId="1" fontId="0" fillId="0" borderId="7" xfId="0" applyNumberFormat="1" applyFill="1" applyBorder="1" applyAlignment="1">
      <alignment horizontal="center" vertical="center"/>
    </xf>
    <xf numFmtId="1" fontId="0" fillId="0" borderId="3" xfId="0" applyNumberFormat="1" applyFill="1" applyBorder="1"/>
    <xf numFmtId="173" fontId="0" fillId="0" borderId="3" xfId="1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62" xfId="0" applyBorder="1" applyAlignment="1">
      <alignment horizontal="left" vertical="top" wrapText="1" indent="2"/>
    </xf>
    <xf numFmtId="44" fontId="0" fillId="0" borderId="3" xfId="0" applyNumberFormat="1" applyFill="1" applyBorder="1"/>
    <xf numFmtId="0" fontId="0" fillId="0" borderId="77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67" xfId="0" applyBorder="1" applyAlignment="1">
      <alignment horizontal="left" vertical="top" wrapText="1" indent="2"/>
    </xf>
    <xf numFmtId="1" fontId="0" fillId="0" borderId="69" xfId="0" applyNumberFormat="1" applyFill="1" applyBorder="1"/>
    <xf numFmtId="0" fontId="2" fillId="0" borderId="0" xfId="0" applyFont="1" applyBorder="1"/>
    <xf numFmtId="0" fontId="0" fillId="0" borderId="0" xfId="1" applyFont="1" applyFill="1" applyBorder="1" applyAlignment="1">
      <alignment vertical="center"/>
    </xf>
    <xf numFmtId="0" fontId="0" fillId="11" borderId="0" xfId="0" applyFill="1"/>
    <xf numFmtId="0" fontId="7" fillId="11" borderId="2" xfId="1" applyFont="1" applyFill="1" applyBorder="1" applyAlignment="1">
      <alignment horizontal="center"/>
    </xf>
    <xf numFmtId="167" fontId="10" fillId="11" borderId="0" xfId="0" applyNumberFormat="1" applyFont="1" applyFill="1"/>
    <xf numFmtId="0" fontId="2" fillId="11" borderId="3" xfId="0" applyFont="1" applyFill="1" applyBorder="1" applyAlignment="1">
      <alignment horizontal="center"/>
    </xf>
    <xf numFmtId="167" fontId="8" fillId="11" borderId="7" xfId="1" applyNumberFormat="1" applyFont="1" applyFill="1" applyBorder="1" applyAlignment="1">
      <alignment vertical="center"/>
    </xf>
    <xf numFmtId="167" fontId="14" fillId="11" borderId="46" xfId="1" applyNumberFormat="1" applyFont="1" applyFill="1" applyBorder="1" applyAlignment="1" applyProtection="1">
      <alignment horizontal="right" vertical="top"/>
      <protection locked="0"/>
    </xf>
    <xf numFmtId="167" fontId="14" fillId="11" borderId="31" xfId="1" applyNumberFormat="1" applyFont="1" applyFill="1" applyBorder="1" applyAlignment="1" applyProtection="1">
      <alignment horizontal="right" vertical="top"/>
      <protection locked="0"/>
    </xf>
    <xf numFmtId="167" fontId="14" fillId="11" borderId="27" xfId="1" applyNumberFormat="1" applyFont="1" applyFill="1" applyBorder="1" applyAlignment="1" applyProtection="1">
      <alignment horizontal="right" vertical="top"/>
      <protection locked="0"/>
    </xf>
    <xf numFmtId="167" fontId="1" fillId="11" borderId="17" xfId="1" applyNumberFormat="1" applyFont="1" applyFill="1" applyBorder="1" applyAlignment="1" applyProtection="1">
      <alignment horizontal="right" vertical="top"/>
      <protection locked="0"/>
    </xf>
    <xf numFmtId="167" fontId="14" fillId="11" borderId="7" xfId="1" applyNumberFormat="1" applyFont="1" applyFill="1" applyBorder="1" applyAlignment="1" applyProtection="1">
      <alignment horizontal="center" vertical="top"/>
      <protection locked="0"/>
    </xf>
    <xf numFmtId="167" fontId="17" fillId="11" borderId="18" xfId="1" applyNumberFormat="1" applyFont="1" applyFill="1" applyBorder="1" applyAlignment="1" applyProtection="1">
      <alignment horizontal="right"/>
      <protection locked="0"/>
    </xf>
    <xf numFmtId="167" fontId="14" fillId="11" borderId="0" xfId="1" applyNumberFormat="1" applyFont="1" applyFill="1" applyBorder="1" applyAlignment="1" applyProtection="1">
      <alignment horizontal="center" vertical="top"/>
      <protection locked="0"/>
    </xf>
    <xf numFmtId="0" fontId="7" fillId="11" borderId="7" xfId="1" applyFont="1" applyFill="1" applyBorder="1" applyAlignment="1">
      <alignment horizontal="center"/>
    </xf>
    <xf numFmtId="167" fontId="14" fillId="11" borderId="46" xfId="1" applyNumberFormat="1" applyFont="1" applyFill="1" applyBorder="1" applyAlignment="1" applyProtection="1">
      <alignment horizontal="center" vertical="top"/>
      <protection locked="0"/>
    </xf>
    <xf numFmtId="167" fontId="14" fillId="11" borderId="31" xfId="1" applyNumberFormat="1" applyFont="1" applyFill="1" applyBorder="1" applyAlignment="1" applyProtection="1">
      <alignment horizontal="center" vertical="top"/>
      <protection locked="0"/>
    </xf>
    <xf numFmtId="167" fontId="14" fillId="11" borderId="27" xfId="1" applyNumberFormat="1" applyFont="1" applyFill="1" applyBorder="1" applyAlignment="1" applyProtection="1">
      <alignment horizontal="center" vertical="top"/>
      <protection locked="0"/>
    </xf>
    <xf numFmtId="167" fontId="2" fillId="11" borderId="17" xfId="1" applyNumberFormat="1" applyFont="1" applyFill="1" applyBorder="1" applyAlignment="1" applyProtection="1">
      <alignment horizontal="right" vertical="top"/>
      <protection locked="0"/>
    </xf>
    <xf numFmtId="169" fontId="14" fillId="11" borderId="46" xfId="12" applyNumberFormat="1" applyFont="1" applyFill="1" applyBorder="1" applyAlignment="1" applyProtection="1">
      <alignment horizontal="right" vertical="center" wrapText="1"/>
      <protection locked="0"/>
    </xf>
    <xf numFmtId="0" fontId="14" fillId="11" borderId="17" xfId="1" applyFont="1" applyFill="1" applyBorder="1" applyAlignment="1" applyProtection="1">
      <alignment horizontal="right" vertical="center" wrapText="1"/>
      <protection locked="0"/>
    </xf>
    <xf numFmtId="167" fontId="2" fillId="11" borderId="17" xfId="1" applyNumberFormat="1" applyFont="1" applyFill="1" applyBorder="1" applyAlignment="1" applyProtection="1">
      <alignment horizontal="right" vertical="center"/>
      <protection locked="0"/>
    </xf>
    <xf numFmtId="0" fontId="7" fillId="11" borderId="0" xfId="1" applyFont="1" applyFill="1" applyAlignment="1">
      <alignment horizontal="center"/>
    </xf>
    <xf numFmtId="0" fontId="0" fillId="11" borderId="7" xfId="0" applyFill="1" applyBorder="1"/>
    <xf numFmtId="169" fontId="14" fillId="11" borderId="31" xfId="12" applyNumberFormat="1" applyFont="1" applyFill="1" applyBorder="1" applyAlignment="1" applyProtection="1">
      <alignment horizontal="right" vertical="center" wrapText="1"/>
      <protection locked="0"/>
    </xf>
    <xf numFmtId="169" fontId="14" fillId="11" borderId="27" xfId="12" applyNumberFormat="1" applyFont="1" applyFill="1" applyBorder="1" applyAlignment="1" applyProtection="1">
      <alignment horizontal="right" vertical="center" wrapText="1"/>
      <protection locked="0"/>
    </xf>
    <xf numFmtId="167" fontId="2" fillId="11" borderId="0" xfId="1" applyNumberFormat="1" applyFont="1" applyFill="1" applyBorder="1" applyAlignment="1" applyProtection="1">
      <alignment horizontal="right" vertical="center"/>
      <protection locked="0"/>
    </xf>
    <xf numFmtId="164" fontId="14" fillId="11" borderId="46" xfId="1" applyNumberFormat="1" applyFont="1" applyFill="1" applyBorder="1" applyAlignment="1" applyProtection="1">
      <alignment horizontal="right" vertical="center" wrapText="1"/>
      <protection locked="0"/>
    </xf>
    <xf numFmtId="0" fontId="14" fillId="11" borderId="31" xfId="1" applyFont="1" applyFill="1" applyBorder="1" applyAlignment="1" applyProtection="1">
      <alignment horizontal="right" vertical="center" wrapText="1"/>
      <protection locked="0"/>
    </xf>
    <xf numFmtId="0" fontId="14" fillId="11" borderId="46" xfId="1" applyFont="1" applyFill="1" applyBorder="1" applyAlignment="1" applyProtection="1">
      <alignment horizontal="right" vertical="center" wrapText="1"/>
      <protection locked="0"/>
    </xf>
    <xf numFmtId="0" fontId="14" fillId="11" borderId="27" xfId="1" applyFont="1" applyFill="1" applyBorder="1" applyAlignment="1" applyProtection="1">
      <alignment horizontal="right" vertical="center"/>
      <protection locked="0"/>
    </xf>
    <xf numFmtId="0" fontId="14" fillId="11" borderId="25" xfId="1" applyFont="1" applyFill="1" applyBorder="1" applyAlignment="1" applyProtection="1">
      <alignment horizontal="right" vertical="center" wrapText="1"/>
      <protection locked="0"/>
    </xf>
    <xf numFmtId="10" fontId="14" fillId="11" borderId="31" xfId="10" applyNumberFormat="1" applyFont="1" applyFill="1" applyBorder="1" applyAlignment="1" applyProtection="1">
      <alignment horizontal="right" vertical="center" wrapText="1"/>
      <protection locked="0"/>
    </xf>
    <xf numFmtId="168" fontId="1" fillId="11" borderId="27" xfId="1" applyNumberFormat="1" applyFont="1" applyFill="1" applyBorder="1" applyAlignment="1" applyProtection="1">
      <alignment horizontal="right" vertical="center"/>
      <protection locked="0"/>
    </xf>
    <xf numFmtId="167" fontId="2" fillId="11" borderId="18" xfId="1" applyNumberFormat="1" applyFont="1" applyFill="1" applyBorder="1" applyAlignment="1" applyProtection="1">
      <alignment horizontal="right" vertical="center"/>
      <protection locked="0"/>
    </xf>
    <xf numFmtId="167" fontId="1" fillId="11" borderId="0" xfId="1" applyNumberFormat="1" applyFont="1" applyFill="1" applyAlignment="1" applyProtection="1">
      <alignment horizontal="center" vertical="center"/>
      <protection locked="0"/>
    </xf>
    <xf numFmtId="2" fontId="1" fillId="11" borderId="0" xfId="1" applyNumberFormat="1" applyFont="1" applyFill="1" applyBorder="1" applyAlignment="1" applyProtection="1">
      <alignment horizontal="center" vertical="center"/>
      <protection locked="0"/>
    </xf>
    <xf numFmtId="4" fontId="1" fillId="11" borderId="15" xfId="1" applyNumberFormat="1" applyFont="1" applyFill="1" applyBorder="1" applyAlignment="1">
      <alignment horizontal="center" vertical="center"/>
    </xf>
    <xf numFmtId="4" fontId="1" fillId="11" borderId="16" xfId="1" applyNumberFormat="1" applyFont="1" applyFill="1" applyBorder="1" applyAlignment="1" applyProtection="1">
      <alignment horizontal="center" vertical="center"/>
      <protection locked="0"/>
    </xf>
    <xf numFmtId="4" fontId="1" fillId="11" borderId="14" xfId="1" applyNumberFormat="1" applyFont="1" applyFill="1" applyBorder="1" applyAlignment="1" applyProtection="1">
      <alignment horizontal="center" vertical="center"/>
      <protection locked="0"/>
    </xf>
    <xf numFmtId="4" fontId="1" fillId="11" borderId="0" xfId="1" applyNumberFormat="1" applyFont="1" applyFill="1" applyAlignment="1" applyProtection="1">
      <alignment horizontal="center" vertical="center"/>
      <protection locked="0"/>
    </xf>
    <xf numFmtId="167" fontId="1" fillId="11" borderId="15" xfId="1" applyNumberFormat="1" applyFont="1" applyFill="1" applyBorder="1" applyAlignment="1" applyProtection="1">
      <alignment horizontal="right" vertical="center"/>
      <protection locked="0"/>
    </xf>
    <xf numFmtId="167" fontId="16" fillId="11" borderId="14" xfId="1" applyNumberFormat="1" applyFont="1" applyFill="1" applyBorder="1" applyAlignment="1" applyProtection="1">
      <alignment horizontal="right" vertical="center"/>
      <protection locked="0"/>
    </xf>
    <xf numFmtId="167" fontId="1" fillId="11" borderId="0" xfId="1" applyNumberFormat="1" applyFont="1" applyFill="1" applyBorder="1" applyAlignment="1" applyProtection="1">
      <alignment horizontal="right" vertical="center"/>
      <protection locked="0"/>
    </xf>
    <xf numFmtId="0" fontId="1" fillId="11" borderId="11" xfId="1" applyFont="1" applyFill="1" applyBorder="1" applyAlignment="1" applyProtection="1">
      <alignment horizontal="center" vertical="center"/>
      <protection locked="0"/>
    </xf>
    <xf numFmtId="0" fontId="1" fillId="11" borderId="13" xfId="1" applyFont="1" applyFill="1" applyBorder="1" applyAlignment="1" applyProtection="1">
      <alignment horizontal="center" vertical="center"/>
      <protection locked="0"/>
    </xf>
    <xf numFmtId="0" fontId="1" fillId="11" borderId="0" xfId="1" applyFont="1" applyFill="1" applyAlignment="1" applyProtection="1">
      <alignment horizontal="center" vertical="center"/>
      <protection locked="0"/>
    </xf>
    <xf numFmtId="0" fontId="7" fillId="11" borderId="6" xfId="1" applyFont="1" applyFill="1" applyBorder="1" applyAlignment="1">
      <alignment horizontal="center"/>
    </xf>
    <xf numFmtId="0" fontId="7" fillId="11" borderId="0" xfId="1" applyFont="1" applyFill="1" applyBorder="1" applyAlignment="1">
      <alignment horizontal="center"/>
    </xf>
    <xf numFmtId="2" fontId="14" fillId="11" borderId="38" xfId="1" applyNumberFormat="1" applyFont="1" applyFill="1" applyBorder="1" applyAlignment="1" applyProtection="1">
      <alignment horizontal="center"/>
      <protection locked="0"/>
    </xf>
    <xf numFmtId="0" fontId="14" fillId="11" borderId="38" xfId="1" applyFont="1" applyFill="1" applyBorder="1" applyAlignment="1" applyProtection="1">
      <alignment horizontal="center"/>
      <protection locked="0"/>
    </xf>
    <xf numFmtId="0" fontId="15" fillId="11" borderId="38" xfId="1" applyFont="1" applyFill="1" applyBorder="1" applyAlignment="1" applyProtection="1">
      <alignment horizontal="center"/>
    </xf>
    <xf numFmtId="172" fontId="14" fillId="11" borderId="38" xfId="1" applyNumberFormat="1" applyFont="1" applyFill="1" applyBorder="1" applyAlignment="1" applyProtection="1">
      <alignment horizontal="center"/>
      <protection locked="0"/>
    </xf>
    <xf numFmtId="0" fontId="14" fillId="11" borderId="71" xfId="1" applyFont="1" applyFill="1" applyBorder="1" applyAlignment="1" applyProtection="1">
      <alignment horizontal="center"/>
      <protection locked="0"/>
    </xf>
    <xf numFmtId="164" fontId="14" fillId="11" borderId="38" xfId="1" applyNumberFormat="1" applyFont="1" applyFill="1" applyBorder="1" applyAlignment="1" applyProtection="1">
      <alignment horizontal="center"/>
      <protection locked="0"/>
    </xf>
    <xf numFmtId="0" fontId="7" fillId="11" borderId="0" xfId="1" applyFont="1" applyFill="1"/>
    <xf numFmtId="166" fontId="14" fillId="11" borderId="38" xfId="10" applyNumberFormat="1" applyFont="1" applyFill="1" applyBorder="1" applyAlignment="1" applyProtection="1">
      <alignment horizontal="center"/>
      <protection locked="0"/>
    </xf>
    <xf numFmtId="0" fontId="14" fillId="11" borderId="38" xfId="1" applyNumberFormat="1" applyFont="1" applyFill="1" applyBorder="1" applyAlignment="1" applyProtection="1">
      <alignment horizontal="center"/>
      <protection locked="0"/>
    </xf>
    <xf numFmtId="167" fontId="14" fillId="11" borderId="38" xfId="1" applyNumberFormat="1" applyFont="1" applyFill="1" applyBorder="1" applyAlignment="1" applyProtection="1">
      <alignment horizontal="center"/>
      <protection locked="0"/>
    </xf>
    <xf numFmtId="10" fontId="14" fillId="11" borderId="38" xfId="10" applyNumberFormat="1" applyFont="1" applyFill="1" applyBorder="1" applyAlignment="1" applyProtection="1">
      <alignment horizontal="center"/>
      <protection locked="0"/>
    </xf>
    <xf numFmtId="5" fontId="7" fillId="11" borderId="38" xfId="12" applyNumberFormat="1" applyFont="1" applyFill="1" applyBorder="1" applyAlignment="1">
      <alignment horizontal="center"/>
    </xf>
    <xf numFmtId="164" fontId="7" fillId="11" borderId="0" xfId="1" applyNumberFormat="1" applyFont="1" applyFill="1" applyAlignment="1">
      <alignment horizontal="center"/>
    </xf>
    <xf numFmtId="0" fontId="7" fillId="11" borderId="0" xfId="1" applyFont="1" applyFill="1" applyAlignment="1">
      <alignment vertical="center"/>
    </xf>
    <xf numFmtId="0" fontId="7" fillId="11" borderId="0" xfId="1" applyFont="1" applyFill="1" applyAlignment="1">
      <alignment horizontal="center" vertical="center"/>
    </xf>
    <xf numFmtId="0" fontId="10" fillId="11" borderId="0" xfId="0" quotePrefix="1" applyFont="1" applyFill="1"/>
    <xf numFmtId="0" fontId="2" fillId="11" borderId="21" xfId="0" applyFont="1" applyFill="1" applyBorder="1" applyAlignment="1">
      <alignment horizontal="center" wrapText="1"/>
    </xf>
    <xf numFmtId="167" fontId="7" fillId="12" borderId="47" xfId="1" applyNumberFormat="1" applyFont="1" applyFill="1" applyBorder="1" applyAlignment="1">
      <alignment horizontal="center" vertical="top"/>
    </xf>
    <xf numFmtId="167" fontId="7" fillId="12" borderId="32" xfId="1" applyNumberFormat="1" applyFont="1" applyFill="1" applyBorder="1" applyAlignment="1">
      <alignment horizontal="center" vertical="top"/>
    </xf>
    <xf numFmtId="167" fontId="7" fillId="11" borderId="32" xfId="1" applyNumberFormat="1" applyFont="1" applyFill="1" applyBorder="1" applyAlignment="1">
      <alignment horizontal="right" vertical="top"/>
    </xf>
    <xf numFmtId="167" fontId="7" fillId="12" borderId="21" xfId="1" applyNumberFormat="1" applyFont="1" applyFill="1" applyBorder="1" applyAlignment="1">
      <alignment horizontal="center" vertical="top"/>
    </xf>
    <xf numFmtId="167" fontId="7" fillId="11" borderId="7" xfId="1" applyNumberFormat="1" applyFont="1" applyFill="1" applyBorder="1" applyAlignment="1">
      <alignment horizontal="center" vertical="top"/>
    </xf>
    <xf numFmtId="167" fontId="7" fillId="11" borderId="47" xfId="1" applyNumberFormat="1" applyFont="1" applyFill="1" applyBorder="1" applyAlignment="1">
      <alignment horizontal="right" vertical="top"/>
    </xf>
    <xf numFmtId="167" fontId="7" fillId="12" borderId="32" xfId="1" applyNumberFormat="1" applyFont="1" applyFill="1" applyBorder="1" applyAlignment="1">
      <alignment horizontal="right" vertical="top"/>
    </xf>
    <xf numFmtId="167" fontId="7" fillId="12" borderId="21" xfId="1" applyNumberFormat="1" applyFont="1" applyFill="1" applyBorder="1" applyAlignment="1">
      <alignment horizontal="right" vertical="top"/>
    </xf>
    <xf numFmtId="0" fontId="7" fillId="12" borderId="21" xfId="1" applyFont="1" applyFill="1" applyBorder="1" applyAlignment="1">
      <alignment horizontal="right"/>
    </xf>
    <xf numFmtId="167" fontId="7" fillId="11" borderId="0" xfId="1" applyNumberFormat="1" applyFont="1" applyFill="1" applyBorder="1" applyAlignment="1">
      <alignment horizontal="center" vertical="top"/>
    </xf>
    <xf numFmtId="167" fontId="7" fillId="11" borderId="28" xfId="1" applyNumberFormat="1" applyFont="1" applyFill="1" applyBorder="1" applyAlignment="1">
      <alignment horizontal="right" vertical="top"/>
    </xf>
    <xf numFmtId="0" fontId="0" fillId="12" borderId="24" xfId="0" applyFill="1" applyBorder="1" applyAlignment="1">
      <alignment vertical="top"/>
    </xf>
    <xf numFmtId="164" fontId="1" fillId="11" borderId="47" xfId="1" applyNumberFormat="1" applyFont="1" applyFill="1" applyBorder="1" applyAlignment="1" applyProtection="1">
      <alignment horizontal="right" vertical="center"/>
      <protection locked="0"/>
    </xf>
    <xf numFmtId="167" fontId="1" fillId="11" borderId="24" xfId="1" applyNumberFormat="1" applyFont="1" applyFill="1" applyBorder="1" applyAlignment="1" applyProtection="1">
      <alignment horizontal="right" vertical="center"/>
      <protection locked="0"/>
    </xf>
    <xf numFmtId="167" fontId="2" fillId="12" borderId="24" xfId="1" applyNumberFormat="1" applyFont="1" applyFill="1" applyBorder="1" applyAlignment="1" applyProtection="1">
      <alignment horizontal="center" vertical="center"/>
      <protection locked="0"/>
    </xf>
    <xf numFmtId="167" fontId="1" fillId="12" borderId="60" xfId="1" applyNumberFormat="1" applyFont="1" applyFill="1" applyBorder="1" applyAlignment="1" applyProtection="1">
      <alignment horizontal="right" vertical="center"/>
      <protection locked="0"/>
    </xf>
    <xf numFmtId="167" fontId="1" fillId="11" borderId="60" xfId="1" applyNumberFormat="1" applyFont="1" applyFill="1" applyBorder="1" applyAlignment="1" applyProtection="1">
      <alignment horizontal="right" vertical="center"/>
      <protection locked="0"/>
    </xf>
    <xf numFmtId="167" fontId="1" fillId="11" borderId="57" xfId="1" applyNumberFormat="1" applyFont="1" applyFill="1" applyBorder="1" applyAlignment="1" applyProtection="1">
      <alignment horizontal="right" vertical="center"/>
      <protection locked="0"/>
    </xf>
    <xf numFmtId="167" fontId="1" fillId="12" borderId="57" xfId="1" applyNumberFormat="1" applyFont="1" applyFill="1" applyBorder="1" applyAlignment="1" applyProtection="1">
      <alignment horizontal="right" vertical="center"/>
      <protection locked="0"/>
    </xf>
    <xf numFmtId="167" fontId="1" fillId="12" borderId="58" xfId="1" applyNumberFormat="1" applyFont="1" applyFill="1" applyBorder="1" applyAlignment="1" applyProtection="1">
      <alignment horizontal="right" vertical="center"/>
      <protection locked="0"/>
    </xf>
    <xf numFmtId="167" fontId="2" fillId="12" borderId="24" xfId="1" applyNumberFormat="1" applyFont="1" applyFill="1" applyBorder="1" applyAlignment="1" applyProtection="1">
      <alignment horizontal="right" vertical="center"/>
      <protection locked="0"/>
    </xf>
    <xf numFmtId="167" fontId="1" fillId="11" borderId="58" xfId="1" applyNumberFormat="1" applyFont="1" applyFill="1" applyBorder="1" applyAlignment="1" applyProtection="1">
      <alignment horizontal="right" vertical="center"/>
      <protection locked="0"/>
    </xf>
    <xf numFmtId="0" fontId="1" fillId="11" borderId="26" xfId="1" applyNumberFormat="1" applyFont="1" applyFill="1" applyBorder="1" applyAlignment="1" applyProtection="1">
      <alignment horizontal="center" vertical="center"/>
      <protection locked="0"/>
    </xf>
    <xf numFmtId="10" fontId="1" fillId="11" borderId="32" xfId="1" applyNumberFormat="1" applyFont="1" applyFill="1" applyBorder="1" applyAlignment="1" applyProtection="1">
      <alignment horizontal="center" vertical="center"/>
      <protection locked="0"/>
    </xf>
    <xf numFmtId="167" fontId="2" fillId="12" borderId="28" xfId="1" applyNumberFormat="1" applyFont="1" applyFill="1" applyBorder="1" applyAlignment="1">
      <alignment horizontal="right" vertical="center"/>
    </xf>
    <xf numFmtId="167" fontId="2" fillId="12" borderId="21" xfId="1" applyNumberFormat="1" applyFont="1" applyFill="1" applyBorder="1" applyAlignment="1">
      <alignment horizontal="right" vertical="center"/>
    </xf>
    <xf numFmtId="0" fontId="7" fillId="11" borderId="0" xfId="1" applyFont="1" applyFill="1" applyAlignment="1">
      <alignment vertical="center" wrapText="1"/>
    </xf>
    <xf numFmtId="0" fontId="1" fillId="11" borderId="0" xfId="1" applyFont="1" applyFill="1" applyBorder="1" applyAlignment="1" applyProtection="1">
      <alignment horizontal="center" vertical="center"/>
      <protection locked="0"/>
    </xf>
    <xf numFmtId="0" fontId="1" fillId="11" borderId="0" xfId="1" applyFont="1" applyFill="1" applyAlignment="1">
      <alignment horizontal="center" vertical="center"/>
    </xf>
    <xf numFmtId="169" fontId="1" fillId="11" borderId="11" xfId="3" applyNumberFormat="1" applyFont="1" applyFill="1" applyBorder="1" applyAlignment="1">
      <alignment vertical="center"/>
    </xf>
    <xf numFmtId="167" fontId="1" fillId="11" borderId="13" xfId="1" applyNumberFormat="1" applyFont="1" applyFill="1" applyBorder="1" applyAlignment="1" applyProtection="1">
      <alignment horizontal="center" vertical="center"/>
      <protection locked="0"/>
    </xf>
    <xf numFmtId="0" fontId="7" fillId="11" borderId="0" xfId="1" applyFont="1" applyFill="1" applyAlignment="1">
      <alignment horizontal="left"/>
    </xf>
    <xf numFmtId="0" fontId="7" fillId="11" borderId="0" xfId="1" applyFont="1" applyFill="1" applyBorder="1" applyAlignment="1">
      <alignment horizontal="left"/>
    </xf>
    <xf numFmtId="0" fontId="1" fillId="11" borderId="2" xfId="1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167" fontId="2" fillId="11" borderId="5" xfId="1" applyNumberFormat="1" applyFont="1" applyFill="1" applyBorder="1" applyAlignment="1">
      <alignment vertical="center"/>
    </xf>
    <xf numFmtId="0" fontId="1" fillId="11" borderId="29" xfId="1" applyFont="1" applyFill="1" applyBorder="1" applyAlignment="1">
      <alignment horizontal="left" wrapText="1"/>
    </xf>
    <xf numFmtId="0" fontId="0" fillId="11" borderId="29" xfId="1" applyFont="1" applyFill="1" applyBorder="1" applyAlignment="1">
      <alignment horizontal="left" wrapText="1"/>
    </xf>
    <xf numFmtId="0" fontId="1" fillId="11" borderId="1" xfId="1" applyFont="1" applyFill="1" applyBorder="1" applyAlignment="1">
      <alignment horizontal="left" wrapText="1"/>
    </xf>
    <xf numFmtId="0" fontId="1" fillId="11" borderId="5" xfId="1" applyFont="1" applyFill="1" applyBorder="1" applyAlignment="1">
      <alignment horizontal="left" wrapText="1"/>
    </xf>
    <xf numFmtId="0" fontId="1" fillId="11" borderId="5" xfId="1" applyFont="1" applyFill="1" applyBorder="1" applyAlignment="1">
      <alignment horizontal="center" wrapText="1"/>
    </xf>
    <xf numFmtId="0" fontId="1" fillId="11" borderId="0" xfId="1" applyFont="1" applyFill="1" applyAlignment="1">
      <alignment horizontal="left" wrapText="1"/>
    </xf>
    <xf numFmtId="0" fontId="1" fillId="11" borderId="59" xfId="1" applyFont="1" applyFill="1" applyBorder="1" applyAlignment="1">
      <alignment horizontal="left" wrapText="1"/>
    </xf>
    <xf numFmtId="0" fontId="1" fillId="11" borderId="16" xfId="1" quotePrefix="1" applyFont="1" applyFill="1" applyBorder="1" applyAlignment="1">
      <alignment horizontal="left" wrapText="1"/>
    </xf>
    <xf numFmtId="0" fontId="1" fillId="11" borderId="59" xfId="1" quotePrefix="1" applyFont="1" applyFill="1" applyBorder="1" applyAlignment="1">
      <alignment horizontal="left" wrapText="1"/>
    </xf>
    <xf numFmtId="0" fontId="1" fillId="11" borderId="29" xfId="1" quotePrefix="1" applyFont="1" applyFill="1" applyBorder="1" applyAlignment="1">
      <alignment horizontal="left" wrapText="1"/>
    </xf>
    <xf numFmtId="0" fontId="1" fillId="11" borderId="16" xfId="1" applyFont="1" applyFill="1" applyBorder="1" applyAlignment="1">
      <alignment horizontal="left" wrapText="1"/>
    </xf>
    <xf numFmtId="0" fontId="1" fillId="11" borderId="15" xfId="1" quotePrefix="1" applyFont="1" applyFill="1" applyBorder="1" applyAlignment="1">
      <alignment horizontal="left" wrapText="1"/>
    </xf>
    <xf numFmtId="0" fontId="2" fillId="11" borderId="2" xfId="1" applyFont="1" applyFill="1" applyBorder="1" applyAlignment="1">
      <alignment horizontal="center"/>
    </xf>
    <xf numFmtId="0" fontId="1" fillId="11" borderId="2" xfId="1" applyFont="1" applyFill="1" applyBorder="1" applyAlignment="1">
      <alignment horizontal="center"/>
    </xf>
    <xf numFmtId="0" fontId="1" fillId="11" borderId="38" xfId="1" applyFont="1" applyFill="1" applyBorder="1" applyAlignment="1">
      <alignment horizontal="center" wrapText="1"/>
    </xf>
    <xf numFmtId="0" fontId="1" fillId="11" borderId="0" xfId="1" applyFont="1" applyFill="1" applyAlignment="1">
      <alignment horizontal="center" vertical="center" wrapText="1"/>
    </xf>
    <xf numFmtId="174" fontId="2" fillId="11" borderId="16" xfId="1" applyNumberFormat="1" applyFont="1" applyFill="1" applyBorder="1" applyAlignment="1" applyProtection="1">
      <alignment horizontal="right" vertical="center"/>
      <protection locked="0"/>
    </xf>
    <xf numFmtId="0" fontId="30" fillId="11" borderId="0" xfId="0" applyFont="1" applyFill="1" applyAlignment="1">
      <alignment horizontal="left"/>
    </xf>
    <xf numFmtId="0" fontId="31" fillId="11" borderId="0" xfId="0" applyFont="1" applyFill="1"/>
    <xf numFmtId="0" fontId="2" fillId="0" borderId="70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70" xfId="1" applyFont="1" applyFill="1" applyBorder="1" applyAlignment="1" applyProtection="1">
      <alignment horizontal="center" vertical="center" wrapText="1"/>
      <protection locked="0"/>
    </xf>
    <xf numFmtId="0" fontId="2" fillId="0" borderId="73" xfId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2" fillId="0" borderId="64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1" fillId="0" borderId="8" xfId="1" applyFont="1" applyFill="1" applyBorder="1" applyAlignment="1" applyProtection="1">
      <alignment horizontal="left" vertical="top" wrapText="1"/>
      <protection locked="0"/>
    </xf>
    <xf numFmtId="0" fontId="1" fillId="0" borderId="13" xfId="1" applyFont="1" applyFill="1" applyBorder="1" applyAlignment="1" applyProtection="1">
      <alignment horizontal="left" vertical="top" wrapText="1"/>
      <protection locked="0"/>
    </xf>
    <xf numFmtId="0" fontId="1" fillId="0" borderId="9" xfId="1" applyFont="1" applyFill="1" applyBorder="1" applyAlignment="1" applyProtection="1">
      <alignment horizontal="left" vertical="top" wrapText="1"/>
      <protection locked="0"/>
    </xf>
  </cellXfs>
  <cellStyles count="30">
    <cellStyle name="Comma" xfId="11" builtinId="3"/>
    <cellStyle name="Comma 2" xfId="2" xr:uid="{00000000-0005-0000-0000-000001000000}"/>
    <cellStyle name="Currency" xfId="12" builtinId="4"/>
    <cellStyle name="Currency 2" xfId="3" xr:uid="{00000000-0005-0000-0000-000003000000}"/>
    <cellStyle name="Hyperlink 2" xfId="4" xr:uid="{00000000-0005-0000-0000-000004000000}"/>
    <cellStyle name="Normal" xfId="0" builtinId="0"/>
    <cellStyle name="Normal 2" xfId="1" xr:uid="{00000000-0005-0000-0000-000006000000}"/>
    <cellStyle name="Normal 2 2" xfId="6" xr:uid="{00000000-0005-0000-0000-000007000000}"/>
    <cellStyle name="Normal 2_Modernization Project Calcs (Confidential) - ATC 13076" xfId="7" xr:uid="{00000000-0005-0000-0000-000008000000}"/>
    <cellStyle name="Normal 3" xfId="8" xr:uid="{00000000-0005-0000-0000-000009000000}"/>
    <cellStyle name="Normal 4" xfId="13" xr:uid="{00000000-0005-0000-0000-00000A000000}"/>
    <cellStyle name="Percent" xfId="10" builtinId="5"/>
    <cellStyle name="Percent 2" xfId="5" xr:uid="{00000000-0005-0000-0000-00000C000000}"/>
    <cellStyle name="pmxBorderCellsS" xfId="14" xr:uid="{00000000-0005-0000-0000-00000D000000}"/>
    <cellStyle name="pmxCategoryHeadingB" xfId="15" xr:uid="{00000000-0005-0000-0000-00000E000000}"/>
    <cellStyle name="pmxCategoryHeadingM" xfId="16" xr:uid="{00000000-0005-0000-0000-00000F000000}"/>
    <cellStyle name="pmxHeadingB" xfId="17" xr:uid="{00000000-0005-0000-0000-000010000000}"/>
    <cellStyle name="pmxHeadingL" xfId="18" xr:uid="{00000000-0005-0000-0000-000011000000}"/>
    <cellStyle name="pmxHeadingM" xfId="19" xr:uid="{00000000-0005-0000-0000-000012000000}"/>
    <cellStyle name="pmxHeadingS" xfId="20" xr:uid="{00000000-0005-0000-0000-000013000000}"/>
    <cellStyle name="pmxMinorHeadingB" xfId="21" xr:uid="{00000000-0005-0000-0000-000014000000}"/>
    <cellStyle name="pmxMinorHeadingS" xfId="22" xr:uid="{00000000-0005-0000-0000-000015000000}"/>
    <cellStyle name="pmxSubHeadingB" xfId="23" xr:uid="{00000000-0005-0000-0000-000016000000}"/>
    <cellStyle name="pmxSubHeadingM" xfId="24" xr:uid="{00000000-0005-0000-0000-000017000000}"/>
    <cellStyle name="pmxSubSubHeadingB" xfId="25" xr:uid="{00000000-0005-0000-0000-000018000000}"/>
    <cellStyle name="pmxSubSubHeadingM" xfId="26" xr:uid="{00000000-0005-0000-0000-000019000000}"/>
    <cellStyle name="pmxSubSubHeadingS" xfId="27" xr:uid="{00000000-0005-0000-0000-00001A000000}"/>
    <cellStyle name="Shade" xfId="9" xr:uid="{00000000-0005-0000-0000-00001B000000}"/>
    <cellStyle name="桁区切り_OP4a_multi_pay_sch" xfId="28" xr:uid="{00000000-0005-0000-0000-00001C000000}"/>
    <cellStyle name="標準_BOQ07RGE paint equip" xfId="29" xr:uid="{00000000-0005-0000-0000-00001D000000}"/>
  </cellStyles>
  <dxfs count="85"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</dxfs>
  <tableStyles count="0" defaultTableStyle="TableStyleMedium2" defaultPivotStyle="PivotStyleLight16"/>
  <colors>
    <mruColors>
      <color rgb="FFE8F5F8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xxonMobil\Alaska\GTP%20Pre-BACT%20Analysis\July%202016%20Update\GTP%20Turbine%20Cal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ceNo"/>
      <sheetName val="Vendor"/>
      <sheetName val="Data"/>
      <sheetName val="EF"/>
      <sheetName val="ST"/>
      <sheetName val="LT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C8">
            <v>1077</v>
          </cell>
        </row>
        <row r="12">
          <cell r="C12">
            <v>15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e Jones" id="{060FE713-EEBA-4B36-A02C-6462FDE081A0}" userId="S::dave.jones2@alaska.gov::72297629-7ba5-4580-9859-f2406dd3fa9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1" dT="2020-06-15T20:28:55.10" personId="{060FE713-EEBA-4B36-A02C-6462FDE081A0}" id="{38325055-8CA0-4941-8AD9-5C82DEA7AC2B}">
    <text>3.6 billion dollar capital investment quote is from Alaska Pipeline Project Gas Treatment Plant: CO2 Capture Study:
G:\AQ\PERMITS\AIRFACS\Alaska Gasline Dev Corp (AK LNG Project)\Gas Treatment Plant (1524)\Construction\CPT01\Ex Parte</text>
  </threadedComment>
  <threadedComment ref="B75" dT="2020-06-15T20:23:25.78" personId="{060FE713-EEBA-4B36-A02C-6462FDE081A0}" id="{50E6CF5B-F04A-407C-AFF3-282B6873879F}">
    <text>unctonrolled GHG emissions from EUs 1-10 combined. Source- Department's PTE Table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7"/>
  <sheetViews>
    <sheetView view="pageBreakPreview" topLeftCell="A13" zoomScaleNormal="100" zoomScaleSheetLayoutView="100" workbookViewId="0">
      <selection activeCell="F19" sqref="F19"/>
    </sheetView>
  </sheetViews>
  <sheetFormatPr defaultRowHeight="15"/>
  <cols>
    <col min="1" max="1" width="9.85546875" style="1" customWidth="1"/>
    <col min="2" max="2" width="38" customWidth="1"/>
    <col min="3" max="3" width="14.7109375" style="343" bestFit="1" customWidth="1"/>
    <col min="4" max="4" width="10.140625" style="393" customWidth="1"/>
    <col min="5" max="5" width="37.42578125" customWidth="1"/>
    <col min="6" max="6" width="12.5703125" bestFit="1" customWidth="1"/>
    <col min="7" max="7" width="11.7109375" style="393" customWidth="1"/>
    <col min="8" max="8" width="4.140625" customWidth="1"/>
    <col min="10" max="10" width="34.7109375" bestFit="1" customWidth="1"/>
    <col min="13" max="13" width="34.7109375" bestFit="1" customWidth="1"/>
  </cols>
  <sheetData>
    <row r="1" spans="1:16" ht="15.75" thickBot="1">
      <c r="B1" s="543" t="s">
        <v>288</v>
      </c>
      <c r="C1" s="543"/>
      <c r="D1" s="543"/>
      <c r="E1" s="543"/>
    </row>
    <row r="2" spans="1:16" s="325" customFormat="1" ht="45">
      <c r="A2" s="396" t="s">
        <v>273</v>
      </c>
      <c r="B2" s="538" t="s">
        <v>261</v>
      </c>
      <c r="C2" s="539"/>
      <c r="D2" s="392" t="s">
        <v>218</v>
      </c>
      <c r="E2" s="538" t="s">
        <v>213</v>
      </c>
      <c r="F2" s="540"/>
      <c r="G2" s="402" t="s">
        <v>218</v>
      </c>
    </row>
    <row r="3" spans="1:16">
      <c r="A3" s="1" t="s">
        <v>7</v>
      </c>
      <c r="B3" s="381" t="s">
        <v>258</v>
      </c>
      <c r="C3" s="399">
        <v>1450000</v>
      </c>
      <c r="D3" s="394" t="s">
        <v>269</v>
      </c>
      <c r="E3" s="381" t="s">
        <v>258</v>
      </c>
      <c r="F3" s="407">
        <v>400000</v>
      </c>
      <c r="G3" s="403" t="s">
        <v>269</v>
      </c>
    </row>
    <row r="4" spans="1:16">
      <c r="A4" s="1" t="s">
        <v>11</v>
      </c>
      <c r="B4" s="383" t="s">
        <v>274</v>
      </c>
      <c r="C4" s="399">
        <v>900000</v>
      </c>
      <c r="D4" s="394" t="s">
        <v>270</v>
      </c>
      <c r="E4" s="383"/>
      <c r="F4" s="400"/>
      <c r="G4" s="403" t="s">
        <v>270</v>
      </c>
    </row>
    <row r="5" spans="1:16">
      <c r="A5" s="1">
        <v>148</v>
      </c>
      <c r="B5" s="384" t="s">
        <v>260</v>
      </c>
      <c r="C5" s="382">
        <v>3</v>
      </c>
      <c r="D5" s="403" t="s">
        <v>269</v>
      </c>
      <c r="E5" s="384" t="s">
        <v>260</v>
      </c>
      <c r="F5" s="400">
        <v>3</v>
      </c>
      <c r="G5" s="403" t="s">
        <v>269</v>
      </c>
      <c r="J5" s="100"/>
      <c r="K5" s="100"/>
      <c r="L5" s="100"/>
      <c r="M5" s="100"/>
      <c r="N5" s="100"/>
      <c r="O5" s="100"/>
      <c r="P5" s="100"/>
    </row>
    <row r="6" spans="1:16">
      <c r="B6" s="385" t="s">
        <v>4</v>
      </c>
      <c r="C6" s="382">
        <v>7.0000000000000007E-2</v>
      </c>
      <c r="D6" s="394" t="s">
        <v>271</v>
      </c>
      <c r="E6" s="385" t="s">
        <v>4</v>
      </c>
      <c r="F6" s="400">
        <v>7.0000000000000007E-2</v>
      </c>
      <c r="G6" s="403" t="s">
        <v>271</v>
      </c>
      <c r="J6" s="100"/>
      <c r="K6" s="100"/>
      <c r="L6" s="100"/>
      <c r="M6" s="100"/>
      <c r="N6" s="100"/>
      <c r="O6" s="100"/>
      <c r="P6" s="100"/>
    </row>
    <row r="7" spans="1:16">
      <c r="B7" s="384" t="s">
        <v>259</v>
      </c>
      <c r="C7" s="382">
        <v>0.25</v>
      </c>
      <c r="D7" s="394" t="s">
        <v>272</v>
      </c>
      <c r="E7" s="384" t="s">
        <v>259</v>
      </c>
      <c r="F7" s="400">
        <v>0.25</v>
      </c>
      <c r="G7" s="403" t="s">
        <v>272</v>
      </c>
      <c r="J7" s="100"/>
      <c r="K7" s="100"/>
      <c r="L7" s="100"/>
      <c r="M7" s="100"/>
      <c r="N7" s="100"/>
      <c r="O7" s="100"/>
      <c r="P7" s="100"/>
    </row>
    <row r="8" spans="1:16" ht="6.75" customHeight="1">
      <c r="B8" s="384"/>
      <c r="C8" s="382"/>
      <c r="D8" s="394"/>
      <c r="E8" s="384"/>
      <c r="F8" s="400"/>
      <c r="G8" s="403"/>
      <c r="J8" s="100"/>
      <c r="K8" s="100"/>
      <c r="L8" s="100"/>
      <c r="M8" s="100"/>
      <c r="N8" s="100"/>
      <c r="O8" s="100"/>
      <c r="P8" s="100"/>
    </row>
    <row r="9" spans="1:16">
      <c r="B9" s="386" t="s">
        <v>262</v>
      </c>
      <c r="C9" s="382"/>
      <c r="D9" s="394"/>
      <c r="E9" s="386" t="s">
        <v>262</v>
      </c>
      <c r="F9" s="400"/>
      <c r="G9" s="403"/>
      <c r="J9" s="417"/>
      <c r="K9" s="231"/>
      <c r="L9" s="408"/>
      <c r="M9" s="417"/>
      <c r="N9" s="231"/>
      <c r="O9" s="408"/>
      <c r="P9" s="100"/>
    </row>
    <row r="10" spans="1:16">
      <c r="A10" s="1">
        <v>75</v>
      </c>
      <c r="B10" s="387" t="s">
        <v>101</v>
      </c>
      <c r="C10" s="382">
        <v>112.9</v>
      </c>
      <c r="D10" s="394" t="s">
        <v>289</v>
      </c>
      <c r="E10" s="387" t="s">
        <v>267</v>
      </c>
      <c r="F10" s="400">
        <v>215.8</v>
      </c>
      <c r="G10" s="403" t="s">
        <v>290</v>
      </c>
      <c r="J10" s="418"/>
      <c r="K10" s="231"/>
      <c r="L10" s="408"/>
      <c r="M10" s="418"/>
      <c r="N10" s="231"/>
      <c r="O10" s="408"/>
      <c r="P10" s="100"/>
    </row>
    <row r="11" spans="1:16" ht="15.75" thickBot="1">
      <c r="A11" s="1">
        <v>76</v>
      </c>
      <c r="B11" s="388" t="s">
        <v>102</v>
      </c>
      <c r="C11" s="382">
        <f>C10-79.1</f>
        <v>33.800000000000011</v>
      </c>
      <c r="D11" s="394" t="s">
        <v>289</v>
      </c>
      <c r="E11" s="390" t="s">
        <v>268</v>
      </c>
      <c r="F11" s="400">
        <f>215.8-197</f>
        <v>18.800000000000011</v>
      </c>
      <c r="G11" s="403" t="s">
        <v>290</v>
      </c>
      <c r="J11" s="309"/>
      <c r="K11" s="231"/>
      <c r="L11" s="408"/>
      <c r="M11" s="309"/>
      <c r="N11" s="231"/>
      <c r="O11" s="408"/>
      <c r="P11" s="100"/>
    </row>
    <row r="12" spans="1:16" ht="6.75" customHeight="1">
      <c r="B12" s="388"/>
      <c r="C12" s="382"/>
      <c r="D12" s="394"/>
      <c r="E12" s="388"/>
      <c r="F12" s="400"/>
      <c r="G12" s="403"/>
      <c r="J12" s="309"/>
      <c r="K12" s="231"/>
      <c r="L12" s="408"/>
      <c r="M12" s="309"/>
      <c r="N12" s="231"/>
      <c r="O12" s="408"/>
      <c r="P12" s="100"/>
    </row>
    <row r="13" spans="1:16">
      <c r="B13" s="386" t="s">
        <v>263</v>
      </c>
      <c r="C13" s="382"/>
      <c r="D13" s="394"/>
      <c r="E13" s="386" t="s">
        <v>263</v>
      </c>
      <c r="F13" s="400"/>
      <c r="G13" s="403"/>
      <c r="J13" s="417"/>
      <c r="K13" s="231"/>
      <c r="L13" s="408"/>
      <c r="M13" s="417"/>
      <c r="N13" s="231"/>
      <c r="O13" s="408"/>
      <c r="P13" s="100"/>
    </row>
    <row r="14" spans="1:16">
      <c r="A14" s="1">
        <v>75</v>
      </c>
      <c r="B14" s="387" t="s">
        <v>101</v>
      </c>
      <c r="C14" s="382">
        <v>147</v>
      </c>
      <c r="D14" s="394" t="s">
        <v>289</v>
      </c>
      <c r="E14" s="387" t="s">
        <v>267</v>
      </c>
      <c r="F14" s="400">
        <v>114.6</v>
      </c>
      <c r="G14" s="403" t="s">
        <v>290</v>
      </c>
      <c r="J14" s="418"/>
      <c r="K14" s="231"/>
      <c r="L14" s="408"/>
      <c r="M14" s="418"/>
      <c r="N14" s="231"/>
      <c r="O14" s="408"/>
      <c r="P14" s="100"/>
    </row>
    <row r="15" spans="1:16" ht="15.75" thickBot="1">
      <c r="A15" s="1">
        <v>76</v>
      </c>
      <c r="B15" s="388" t="s">
        <v>102</v>
      </c>
      <c r="C15" s="382">
        <f>147-103.5</f>
        <v>43.5</v>
      </c>
      <c r="D15" s="394" t="s">
        <v>289</v>
      </c>
      <c r="E15" s="390" t="s">
        <v>268</v>
      </c>
      <c r="F15" s="400">
        <f>114.6-88</f>
        <v>26.599999999999994</v>
      </c>
      <c r="G15" s="403" t="s">
        <v>290</v>
      </c>
      <c r="J15" s="309"/>
      <c r="K15" s="231"/>
      <c r="L15" s="408"/>
      <c r="M15" s="309"/>
      <c r="N15" s="231"/>
      <c r="O15" s="408"/>
      <c r="P15" s="100"/>
    </row>
    <row r="16" spans="1:16" ht="6" customHeight="1">
      <c r="B16" s="388"/>
      <c r="C16" s="382"/>
      <c r="D16" s="394"/>
      <c r="E16" s="388"/>
      <c r="F16" s="400"/>
      <c r="G16" s="403"/>
      <c r="J16" s="309"/>
      <c r="K16" s="231"/>
      <c r="L16" s="408"/>
      <c r="M16" s="309"/>
      <c r="N16" s="231"/>
      <c r="O16" s="408"/>
      <c r="P16" s="100"/>
    </row>
    <row r="17" spans="1:16">
      <c r="B17" s="389" t="s">
        <v>264</v>
      </c>
      <c r="C17" s="382"/>
      <c r="D17" s="394"/>
      <c r="E17" s="389" t="s">
        <v>264</v>
      </c>
      <c r="F17" s="400"/>
      <c r="G17" s="403"/>
      <c r="J17" s="29"/>
      <c r="K17" s="231"/>
      <c r="L17" s="408"/>
      <c r="M17" s="29"/>
      <c r="N17" s="231"/>
      <c r="O17" s="408"/>
      <c r="P17" s="100"/>
    </row>
    <row r="18" spans="1:16">
      <c r="A18" s="1">
        <v>75</v>
      </c>
      <c r="B18" s="387" t="s">
        <v>101</v>
      </c>
      <c r="C18" s="382">
        <v>93.6</v>
      </c>
      <c r="D18" s="394" t="s">
        <v>289</v>
      </c>
      <c r="E18" s="387" t="s">
        <v>267</v>
      </c>
      <c r="F18" s="400">
        <v>57</v>
      </c>
      <c r="G18" s="403" t="s">
        <v>289</v>
      </c>
      <c r="J18" s="418"/>
      <c r="K18" s="231"/>
      <c r="L18" s="408"/>
      <c r="M18" s="418"/>
      <c r="N18" s="231"/>
      <c r="O18" s="408"/>
      <c r="P18" s="100"/>
    </row>
    <row r="19" spans="1:16" ht="15.75" thickBot="1">
      <c r="A19" s="1">
        <v>76</v>
      </c>
      <c r="B19" s="390" t="s">
        <v>102</v>
      </c>
      <c r="C19" s="391">
        <f>93.6-62.4</f>
        <v>31.199999999999996</v>
      </c>
      <c r="D19" s="394" t="s">
        <v>289</v>
      </c>
      <c r="E19" s="390" t="s">
        <v>268</v>
      </c>
      <c r="F19" s="401">
        <f>57-38</f>
        <v>19</v>
      </c>
      <c r="G19" s="403" t="s">
        <v>289</v>
      </c>
      <c r="J19" s="309"/>
      <c r="K19" s="231"/>
      <c r="L19" s="408"/>
      <c r="M19" s="309"/>
      <c r="N19" s="231"/>
      <c r="O19" s="408"/>
      <c r="P19" s="100"/>
    </row>
    <row r="20" spans="1:16">
      <c r="B20" s="541" t="s">
        <v>275</v>
      </c>
      <c r="C20" s="542"/>
      <c r="D20" s="542"/>
      <c r="E20" s="542"/>
      <c r="F20" s="542"/>
      <c r="G20" s="339"/>
    </row>
    <row r="21" spans="1:16">
      <c r="B21" s="386" t="s">
        <v>262</v>
      </c>
      <c r="C21" s="382"/>
      <c r="D21" s="394"/>
      <c r="E21" s="386" t="s">
        <v>262</v>
      </c>
      <c r="F21" s="400"/>
      <c r="G21" s="403"/>
    </row>
    <row r="22" spans="1:16">
      <c r="B22" s="387" t="s">
        <v>277</v>
      </c>
      <c r="C22" s="405">
        <f>201.3*60/0.0807</f>
        <v>149665.42750929369</v>
      </c>
      <c r="D22" s="403" t="s">
        <v>289</v>
      </c>
      <c r="E22" s="387" t="s">
        <v>277</v>
      </c>
      <c r="F22" s="406">
        <f>C22</f>
        <v>149665.42750929369</v>
      </c>
      <c r="G22" s="403" t="s">
        <v>289</v>
      </c>
    </row>
    <row r="23" spans="1:16">
      <c r="A23" s="1">
        <v>147</v>
      </c>
      <c r="B23" s="388" t="s">
        <v>276</v>
      </c>
      <c r="C23" s="398">
        <f>(266.7/257.5)*350000*C22/511156*1.25</f>
        <v>132675.84652073064</v>
      </c>
      <c r="D23" s="395" t="s">
        <v>280</v>
      </c>
      <c r="E23" s="388" t="s">
        <v>278</v>
      </c>
      <c r="F23" s="400">
        <f>319190/251314*F22*1.25</f>
        <v>237609.6626465868</v>
      </c>
      <c r="G23" s="403" t="s">
        <v>279</v>
      </c>
    </row>
    <row r="24" spans="1:16">
      <c r="B24" s="388"/>
      <c r="C24" s="382"/>
      <c r="D24" s="394"/>
      <c r="E24" s="388"/>
      <c r="F24" s="400"/>
      <c r="G24" s="403"/>
    </row>
    <row r="25" spans="1:16">
      <c r="B25" s="386" t="s">
        <v>263</v>
      </c>
      <c r="C25" s="382"/>
      <c r="D25" s="394"/>
      <c r="E25" s="386" t="s">
        <v>263</v>
      </c>
      <c r="F25" s="400"/>
      <c r="G25" s="403"/>
    </row>
    <row r="26" spans="1:16">
      <c r="B26" s="387" t="s">
        <v>277</v>
      </c>
      <c r="C26" s="382">
        <f>C30</f>
        <v>213977.69516728626</v>
      </c>
      <c r="D26" s="403" t="s">
        <v>289</v>
      </c>
      <c r="E26" s="387" t="s">
        <v>277</v>
      </c>
      <c r="F26" s="400">
        <f>C26</f>
        <v>213977.69516728626</v>
      </c>
      <c r="G26" s="403" t="s">
        <v>289</v>
      </c>
      <c r="H26" t="s">
        <v>291</v>
      </c>
    </row>
    <row r="27" spans="1:16">
      <c r="A27" s="1">
        <v>147</v>
      </c>
      <c r="B27" s="388" t="s">
        <v>276</v>
      </c>
      <c r="C27" s="382">
        <f>(266.7/257.5)*350000*C26/511156*1.25</f>
        <v>189687.57391289755</v>
      </c>
      <c r="D27" s="395" t="s">
        <v>280</v>
      </c>
      <c r="E27" s="388" t="s">
        <v>278</v>
      </c>
      <c r="F27" s="400">
        <f>319190/251314*F26*1.25</f>
        <v>339712.17540828459</v>
      </c>
      <c r="G27" s="403" t="s">
        <v>279</v>
      </c>
    </row>
    <row r="28" spans="1:16">
      <c r="B28" s="388"/>
      <c r="C28" s="382"/>
      <c r="D28" s="394"/>
      <c r="E28" s="388"/>
      <c r="F28" s="400"/>
      <c r="G28" s="403"/>
    </row>
    <row r="29" spans="1:16">
      <c r="B29" s="389" t="s">
        <v>264</v>
      </c>
      <c r="C29" s="382"/>
      <c r="D29" s="394"/>
      <c r="E29" s="389" t="s">
        <v>264</v>
      </c>
      <c r="F29" s="400"/>
      <c r="G29" s="403"/>
    </row>
    <row r="30" spans="1:16">
      <c r="B30" s="387" t="s">
        <v>277</v>
      </c>
      <c r="C30" s="382">
        <f>F30</f>
        <v>213977.69516728626</v>
      </c>
      <c r="D30" s="403" t="s">
        <v>289</v>
      </c>
      <c r="E30" s="387" t="s">
        <v>277</v>
      </c>
      <c r="F30" s="400">
        <f>287.8*60/0.0807</f>
        <v>213977.69516728626</v>
      </c>
      <c r="G30" s="403" t="s">
        <v>289</v>
      </c>
    </row>
    <row r="31" spans="1:16" ht="15.75" thickBot="1">
      <c r="A31" s="1">
        <v>147</v>
      </c>
      <c r="B31" s="388" t="s">
        <v>276</v>
      </c>
      <c r="C31" s="382">
        <f>(266.7/257.5)*350000*C30/511156*1.25</f>
        <v>189687.57391289755</v>
      </c>
      <c r="D31" s="395" t="s">
        <v>280</v>
      </c>
      <c r="E31" s="388" t="s">
        <v>278</v>
      </c>
      <c r="F31" s="400">
        <f>319190/251314*F30*1.25</f>
        <v>339712.17540828459</v>
      </c>
      <c r="G31" s="403" t="s">
        <v>279</v>
      </c>
    </row>
    <row r="32" spans="1:16">
      <c r="B32" s="538" t="s">
        <v>281</v>
      </c>
      <c r="C32" s="539"/>
      <c r="D32" s="397"/>
    </row>
    <row r="33" spans="1:4">
      <c r="B33" s="381" t="s">
        <v>282</v>
      </c>
      <c r="C33" s="404">
        <v>5.67</v>
      </c>
      <c r="D33" s="413" t="s">
        <v>279</v>
      </c>
    </row>
    <row r="34" spans="1:4">
      <c r="B34" s="384"/>
      <c r="C34" s="382"/>
      <c r="D34" s="413"/>
    </row>
    <row r="35" spans="1:4">
      <c r="B35" s="386" t="s">
        <v>262</v>
      </c>
      <c r="C35" s="382"/>
      <c r="D35" s="413"/>
    </row>
    <row r="36" spans="1:4">
      <c r="A36" s="1">
        <v>141</v>
      </c>
      <c r="B36" s="387" t="s">
        <v>283</v>
      </c>
      <c r="C36" s="382">
        <v>50</v>
      </c>
      <c r="D36" s="413" t="s">
        <v>287</v>
      </c>
    </row>
    <row r="37" spans="1:4">
      <c r="B37" s="388"/>
      <c r="C37" s="382"/>
      <c r="D37" s="413"/>
    </row>
    <row r="38" spans="1:4">
      <c r="B38" s="386" t="s">
        <v>263</v>
      </c>
      <c r="C38" s="382"/>
      <c r="D38" s="413"/>
    </row>
    <row r="39" spans="1:4">
      <c r="A39" s="1">
        <v>141</v>
      </c>
      <c r="B39" s="387" t="s">
        <v>283</v>
      </c>
      <c r="C39" s="382">
        <v>63.8</v>
      </c>
      <c r="D39" s="413" t="s">
        <v>287</v>
      </c>
    </row>
    <row r="40" spans="1:4">
      <c r="B40" s="388"/>
      <c r="C40" s="382"/>
      <c r="D40" s="413"/>
    </row>
    <row r="41" spans="1:4">
      <c r="B41" s="389" t="s">
        <v>264</v>
      </c>
      <c r="C41" s="382"/>
      <c r="D41" s="413"/>
    </row>
    <row r="42" spans="1:4">
      <c r="B42" s="387" t="s">
        <v>283</v>
      </c>
      <c r="C42" s="382">
        <v>33</v>
      </c>
      <c r="D42" s="413" t="s">
        <v>287</v>
      </c>
    </row>
    <row r="43" spans="1:4" ht="15.75" thickBot="1">
      <c r="B43" s="390"/>
      <c r="C43" s="391"/>
      <c r="D43" s="414"/>
    </row>
    <row r="44" spans="1:4">
      <c r="B44" s="538" t="s">
        <v>284</v>
      </c>
      <c r="C44" s="539"/>
      <c r="D44" s="397"/>
    </row>
    <row r="45" spans="1:4">
      <c r="B45" s="386" t="s">
        <v>262</v>
      </c>
      <c r="C45" s="382"/>
      <c r="D45" s="413"/>
    </row>
    <row r="46" spans="1:4">
      <c r="B46" s="381" t="s">
        <v>286</v>
      </c>
      <c r="C46" s="382">
        <f>22.5/2</f>
        <v>11.25</v>
      </c>
      <c r="D46" s="413" t="s">
        <v>285</v>
      </c>
    </row>
    <row r="47" spans="1:4">
      <c r="B47" s="388"/>
      <c r="C47" s="382"/>
      <c r="D47" s="413"/>
    </row>
    <row r="48" spans="1:4">
      <c r="B48" s="386" t="s">
        <v>263</v>
      </c>
      <c r="C48" s="382"/>
      <c r="D48" s="413"/>
    </row>
    <row r="49" spans="1:9">
      <c r="B49" s="381" t="s">
        <v>286</v>
      </c>
      <c r="C49" s="382">
        <f>22.5/2</f>
        <v>11.25</v>
      </c>
      <c r="D49" s="413" t="s">
        <v>285</v>
      </c>
    </row>
    <row r="50" spans="1:9">
      <c r="B50" s="388"/>
      <c r="C50" s="382"/>
      <c r="D50" s="413"/>
    </row>
    <row r="51" spans="1:9">
      <c r="B51" s="389" t="s">
        <v>264</v>
      </c>
      <c r="C51" s="382"/>
      <c r="D51" s="413"/>
    </row>
    <row r="52" spans="1:9" ht="15.75" thickBot="1">
      <c r="B52" s="415" t="s">
        <v>286</v>
      </c>
      <c r="C52" s="391">
        <f>32.4/2</f>
        <v>16.2</v>
      </c>
      <c r="D52" s="414" t="s">
        <v>285</v>
      </c>
    </row>
    <row r="53" spans="1:9" ht="15.75" thickBot="1">
      <c r="B53" s="411"/>
      <c r="C53" s="231"/>
      <c r="D53" s="408"/>
    </row>
    <row r="54" spans="1:9" ht="15.75" thickBot="1">
      <c r="B54" s="544" t="s">
        <v>216</v>
      </c>
      <c r="C54" s="545"/>
      <c r="D54" s="545"/>
      <c r="E54" s="545"/>
      <c r="F54" s="545"/>
      <c r="G54" s="546"/>
    </row>
    <row r="55" spans="1:9" ht="45">
      <c r="A55" s="396" t="s">
        <v>273</v>
      </c>
      <c r="B55" s="547" t="s">
        <v>261</v>
      </c>
      <c r="C55" s="548"/>
      <c r="D55" s="409" t="s">
        <v>218</v>
      </c>
      <c r="E55" s="547" t="s">
        <v>213</v>
      </c>
      <c r="F55" s="549"/>
      <c r="G55" s="410" t="s">
        <v>218</v>
      </c>
      <c r="H55" s="325"/>
      <c r="I55" s="325"/>
    </row>
    <row r="56" spans="1:9">
      <c r="A56" s="1" t="s">
        <v>7</v>
      </c>
      <c r="B56" s="381" t="s">
        <v>258</v>
      </c>
      <c r="C56" s="399" t="e">
        <f>#REF!</f>
        <v>#REF!</v>
      </c>
      <c r="D56" s="394" t="s">
        <v>270</v>
      </c>
      <c r="E56" s="381" t="s">
        <v>258</v>
      </c>
      <c r="F56" s="407" t="e">
        <f>#REF!</f>
        <v>#REF!</v>
      </c>
      <c r="G56" s="403" t="s">
        <v>270</v>
      </c>
    </row>
    <row r="57" spans="1:9">
      <c r="A57" s="1" t="s">
        <v>11</v>
      </c>
      <c r="B57" s="383" t="s">
        <v>274</v>
      </c>
      <c r="C57" s="399" t="e">
        <f>#REF!</f>
        <v>#REF!</v>
      </c>
      <c r="D57" s="394" t="s">
        <v>270</v>
      </c>
      <c r="E57" s="383"/>
      <c r="F57" s="400"/>
      <c r="G57" s="403" t="s">
        <v>270</v>
      </c>
    </row>
    <row r="58" spans="1:9">
      <c r="A58" s="1">
        <v>148</v>
      </c>
      <c r="B58" s="384" t="s">
        <v>260</v>
      </c>
      <c r="C58" s="382">
        <v>3</v>
      </c>
      <c r="D58" s="394"/>
      <c r="E58" s="384" t="s">
        <v>260</v>
      </c>
      <c r="F58" s="400">
        <v>3</v>
      </c>
      <c r="G58" s="403"/>
    </row>
    <row r="59" spans="1:9">
      <c r="B59" s="385" t="s">
        <v>4</v>
      </c>
      <c r="C59" s="382">
        <v>7.0000000000000007E-2</v>
      </c>
      <c r="D59" s="394" t="s">
        <v>271</v>
      </c>
      <c r="E59" s="385" t="s">
        <v>4</v>
      </c>
      <c r="F59" s="400">
        <v>7.0000000000000007E-2</v>
      </c>
      <c r="G59" s="403" t="s">
        <v>271</v>
      </c>
    </row>
    <row r="60" spans="1:9">
      <c r="B60" s="384" t="s">
        <v>259</v>
      </c>
      <c r="C60" s="382">
        <v>0.25</v>
      </c>
      <c r="D60" s="394" t="s">
        <v>272</v>
      </c>
      <c r="E60" s="384" t="s">
        <v>259</v>
      </c>
      <c r="F60" s="400">
        <v>0.25</v>
      </c>
      <c r="G60" s="403" t="s">
        <v>272</v>
      </c>
    </row>
    <row r="61" spans="1:9">
      <c r="B61" s="384"/>
      <c r="C61" s="382"/>
      <c r="D61" s="394"/>
      <c r="E61" s="384"/>
      <c r="F61" s="400"/>
      <c r="G61" s="403"/>
    </row>
    <row r="62" spans="1:9">
      <c r="B62" s="386" t="s">
        <v>216</v>
      </c>
      <c r="C62" s="382"/>
      <c r="D62" s="394"/>
      <c r="E62" s="386" t="s">
        <v>216</v>
      </c>
      <c r="F62" s="400"/>
      <c r="G62" s="403"/>
    </row>
    <row r="63" spans="1:9">
      <c r="A63" s="1">
        <v>75</v>
      </c>
      <c r="B63" s="387" t="s">
        <v>101</v>
      </c>
      <c r="C63" s="382">
        <v>42</v>
      </c>
      <c r="D63" s="394"/>
      <c r="E63" s="387" t="s">
        <v>267</v>
      </c>
      <c r="F63" s="400">
        <v>60</v>
      </c>
      <c r="G63" s="403"/>
    </row>
    <row r="64" spans="1:9" ht="15.75" thickBot="1">
      <c r="A64" s="1">
        <v>76</v>
      </c>
      <c r="B64" s="388" t="s">
        <v>102</v>
      </c>
      <c r="C64" s="382">
        <v>10</v>
      </c>
      <c r="D64" s="395"/>
      <c r="E64" s="390" t="s">
        <v>268</v>
      </c>
      <c r="F64" s="400">
        <v>12</v>
      </c>
      <c r="G64" s="403"/>
    </row>
    <row r="65" spans="1:7" ht="15.75" thickBot="1">
      <c r="B65" s="388"/>
      <c r="C65" s="382"/>
      <c r="D65" s="394"/>
      <c r="E65" s="388"/>
      <c r="F65" s="400"/>
      <c r="G65" s="403"/>
    </row>
    <row r="66" spans="1:7">
      <c r="B66" s="541" t="s">
        <v>275</v>
      </c>
      <c r="C66" s="542"/>
      <c r="D66" s="542"/>
      <c r="E66" s="542"/>
      <c r="F66" s="542"/>
      <c r="G66" s="339"/>
    </row>
    <row r="67" spans="1:7">
      <c r="B67" s="386" t="s">
        <v>216</v>
      </c>
      <c r="C67" s="382"/>
      <c r="D67" s="394"/>
      <c r="E67" s="386" t="s">
        <v>216</v>
      </c>
      <c r="F67" s="400"/>
      <c r="G67" s="403"/>
    </row>
    <row r="68" spans="1:7">
      <c r="B68" s="387" t="s">
        <v>277</v>
      </c>
      <c r="C68" s="405"/>
      <c r="E68" s="387" t="s">
        <v>277</v>
      </c>
      <c r="F68" s="406"/>
      <c r="G68" s="403"/>
    </row>
    <row r="69" spans="1:7" ht="15.75" thickBot="1">
      <c r="A69" s="1">
        <v>147</v>
      </c>
      <c r="B69" s="388" t="s">
        <v>276</v>
      </c>
      <c r="C69" s="398" t="e">
        <f>#REF!*1.25</f>
        <v>#REF!</v>
      </c>
      <c r="D69" s="395" t="s">
        <v>279</v>
      </c>
      <c r="E69" s="388" t="s">
        <v>278</v>
      </c>
      <c r="F69" s="412" t="e">
        <f>#REF!*1.25</f>
        <v>#REF!</v>
      </c>
      <c r="G69" s="403" t="s">
        <v>279</v>
      </c>
    </row>
    <row r="70" spans="1:7">
      <c r="B70" s="538" t="s">
        <v>281</v>
      </c>
      <c r="C70" s="539"/>
      <c r="D70" s="397"/>
    </row>
    <row r="71" spans="1:7">
      <c r="B71" s="381" t="s">
        <v>282</v>
      </c>
      <c r="C71" s="404">
        <v>5.67</v>
      </c>
      <c r="D71" s="413" t="s">
        <v>279</v>
      </c>
    </row>
    <row r="72" spans="1:7">
      <c r="B72" s="384"/>
      <c r="C72" s="382"/>
      <c r="D72" s="413"/>
    </row>
    <row r="73" spans="1:7">
      <c r="B73" s="386" t="s">
        <v>216</v>
      </c>
      <c r="C73" s="382"/>
      <c r="D73" s="413"/>
    </row>
    <row r="74" spans="1:7" ht="15.75" thickBot="1">
      <c r="A74" s="1">
        <v>141</v>
      </c>
      <c r="B74" s="387" t="s">
        <v>283</v>
      </c>
      <c r="C74" s="382">
        <f>51.3/2</f>
        <v>25.65</v>
      </c>
      <c r="D74" s="413" t="s">
        <v>287</v>
      </c>
    </row>
    <row r="75" spans="1:7">
      <c r="B75" s="538" t="s">
        <v>284</v>
      </c>
      <c r="C75" s="539"/>
      <c r="D75" s="397"/>
    </row>
    <row r="76" spans="1:7">
      <c r="B76" s="386" t="s">
        <v>216</v>
      </c>
      <c r="C76" s="382"/>
      <c r="D76" s="413"/>
    </row>
    <row r="77" spans="1:7" ht="15.75" thickBot="1">
      <c r="B77" s="415" t="s">
        <v>286</v>
      </c>
      <c r="C77" s="416" t="e">
        <f>#REF!</f>
        <v>#REF!</v>
      </c>
      <c r="D77" s="414" t="s">
        <v>285</v>
      </c>
    </row>
  </sheetData>
  <customSheetViews>
    <customSheetView guid="{9BB43D49-5D78-4E4A-AB52-EDF70C494511}" showPageBreaks="1" fitToPage="1" printArea="1" state="hidden" view="pageBreakPreview">
      <selection activeCell="B20" sqref="B20:F20"/>
      <pageMargins left="0.7" right="0.7" top="0.75" bottom="0.75" header="0.3" footer="0.3"/>
      <pageSetup paperSize="17" scale="88" orientation="portrait" r:id="rId1"/>
    </customSheetView>
  </customSheetViews>
  <mergeCells count="12">
    <mergeCell ref="B1:E1"/>
    <mergeCell ref="B54:G54"/>
    <mergeCell ref="B55:C55"/>
    <mergeCell ref="E55:F55"/>
    <mergeCell ref="B66:F66"/>
    <mergeCell ref="B70:C70"/>
    <mergeCell ref="B75:C75"/>
    <mergeCell ref="B2:C2"/>
    <mergeCell ref="E2:F2"/>
    <mergeCell ref="B20:F20"/>
    <mergeCell ref="B32:C32"/>
    <mergeCell ref="B44:C44"/>
  </mergeCells>
  <pageMargins left="0.7" right="0.7" top="0.75" bottom="0.75" header="0.3" footer="0.3"/>
  <pageSetup paperSize="17" scale="5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16"/>
  <sheetViews>
    <sheetView view="pageBreakPreview" zoomScaleNormal="100" zoomScaleSheetLayoutView="100" workbookViewId="0">
      <selection activeCell="B20" sqref="B20:F20"/>
    </sheetView>
  </sheetViews>
  <sheetFormatPr defaultRowHeight="15"/>
  <cols>
    <col min="1" max="1" width="23.7109375" customWidth="1"/>
    <col min="2" max="3" width="15" customWidth="1"/>
    <col min="4" max="4" width="15.140625" customWidth="1"/>
    <col min="5" max="5" width="18.28515625" customWidth="1"/>
  </cols>
  <sheetData>
    <row r="2" spans="1:5" ht="45">
      <c r="A2" s="326" t="s">
        <v>206</v>
      </c>
      <c r="B2" s="327" t="s">
        <v>14</v>
      </c>
      <c r="C2" s="327" t="s">
        <v>207</v>
      </c>
      <c r="D2" s="327" t="s">
        <v>208</v>
      </c>
      <c r="E2" s="327" t="s">
        <v>209</v>
      </c>
    </row>
    <row r="3" spans="1:5">
      <c r="A3" s="328" t="s">
        <v>262</v>
      </c>
      <c r="B3" s="329" t="e">
        <f>#REF!</f>
        <v>#REF!</v>
      </c>
      <c r="C3" s="329" t="e">
        <f>#REF!</f>
        <v>#REF!</v>
      </c>
      <c r="D3" s="334" t="e">
        <f>#REF!</f>
        <v>#REF!</v>
      </c>
      <c r="E3" s="329" t="e">
        <f>#REF!</f>
        <v>#REF!</v>
      </c>
    </row>
    <row r="4" spans="1:5">
      <c r="A4" s="340" t="s">
        <v>263</v>
      </c>
      <c r="B4" s="341" t="e">
        <f>#REF!</f>
        <v>#REF!</v>
      </c>
      <c r="C4" s="341" t="e">
        <f>#REF!</f>
        <v>#REF!</v>
      </c>
      <c r="D4" s="342" t="e">
        <f>#REF!</f>
        <v>#REF!</v>
      </c>
      <c r="E4" s="341" t="e">
        <f>#REF!</f>
        <v>#REF!</v>
      </c>
    </row>
    <row r="5" spans="1:5">
      <c r="A5" s="330" t="s">
        <v>264</v>
      </c>
      <c r="B5" s="331">
        <f>'Turbines CCS'!B41</f>
        <v>3631800000</v>
      </c>
      <c r="C5" s="331">
        <f>'Turbines CCS'!B71</f>
        <v>534314774.7335552</v>
      </c>
      <c r="D5" s="335">
        <f>'Turbines CCS'!B77</f>
        <v>3791583.3869999996</v>
      </c>
      <c r="E5" s="331">
        <f>'Turbines CCS'!B80</f>
        <v>140.92127752366778</v>
      </c>
    </row>
    <row r="8" spans="1:5" ht="45">
      <c r="A8" s="333" t="s">
        <v>210</v>
      </c>
      <c r="B8" s="327" t="s">
        <v>14</v>
      </c>
      <c r="C8" s="327" t="s">
        <v>207</v>
      </c>
      <c r="D8" s="327" t="s">
        <v>211</v>
      </c>
      <c r="E8" s="327" t="s">
        <v>209</v>
      </c>
    </row>
    <row r="9" spans="1:5">
      <c r="A9" s="328" t="s">
        <v>262</v>
      </c>
      <c r="B9" s="329" t="e">
        <f>#REF!</f>
        <v>#REF!</v>
      </c>
      <c r="C9" s="329" t="e">
        <f>#REF!</f>
        <v>#REF!</v>
      </c>
      <c r="D9" s="334" t="e">
        <f>#REF!</f>
        <v>#REF!</v>
      </c>
      <c r="E9" s="329" t="e">
        <f>#REF!</f>
        <v>#REF!</v>
      </c>
    </row>
    <row r="10" spans="1:5">
      <c r="A10" s="340" t="s">
        <v>263</v>
      </c>
      <c r="B10" s="341" t="e">
        <f>#REF!</f>
        <v>#REF!</v>
      </c>
      <c r="C10" s="341" t="e">
        <f>#REF!</f>
        <v>#REF!</v>
      </c>
      <c r="D10" s="342" t="e">
        <f>#REF!</f>
        <v>#REF!</v>
      </c>
      <c r="E10" s="341" t="e">
        <f>#REF!</f>
        <v>#REF!</v>
      </c>
    </row>
    <row r="11" spans="1:5">
      <c r="A11" s="330" t="s">
        <v>264</v>
      </c>
      <c r="B11" s="331" t="e">
        <f>#REF!</f>
        <v>#REF!</v>
      </c>
      <c r="C11" s="331" t="e">
        <f>#REF!</f>
        <v>#REF!</v>
      </c>
      <c r="D11" s="335" t="e">
        <f>#REF!</f>
        <v>#REF!</v>
      </c>
      <c r="E11" s="331" t="e">
        <f>#REF!</f>
        <v>#REF!</v>
      </c>
    </row>
    <row r="13" spans="1:5">
      <c r="A13" s="325"/>
    </row>
    <row r="14" spans="1:5" ht="45">
      <c r="A14" s="333" t="s">
        <v>205</v>
      </c>
      <c r="B14" s="327" t="s">
        <v>14</v>
      </c>
      <c r="C14" s="327" t="s">
        <v>207</v>
      </c>
      <c r="D14" s="327" t="s">
        <v>214</v>
      </c>
      <c r="E14" s="327" t="s">
        <v>209</v>
      </c>
    </row>
    <row r="15" spans="1:5">
      <c r="A15" s="337" t="s">
        <v>212</v>
      </c>
      <c r="B15" s="329" t="e">
        <f>#REF!</f>
        <v>#REF!</v>
      </c>
      <c r="C15" s="329" t="e">
        <f>#REF!</f>
        <v>#REF!</v>
      </c>
      <c r="D15" s="334" t="e">
        <f>#REF!</f>
        <v>#REF!</v>
      </c>
      <c r="E15" s="329" t="e">
        <f>#REF!</f>
        <v>#REF!</v>
      </c>
    </row>
    <row r="16" spans="1:5">
      <c r="A16" s="338" t="s">
        <v>213</v>
      </c>
      <c r="B16" s="332" t="e">
        <f>#REF!</f>
        <v>#REF!</v>
      </c>
      <c r="C16" s="332" t="e">
        <f>#REF!</f>
        <v>#REF!</v>
      </c>
      <c r="D16" s="336" t="e">
        <f>#REF!</f>
        <v>#REF!</v>
      </c>
      <c r="E16" s="332" t="e">
        <f>#REF!</f>
        <v>#REF!</v>
      </c>
    </row>
  </sheetData>
  <customSheetViews>
    <customSheetView guid="{9BB43D49-5D78-4E4A-AB52-EDF70C494511}" showPageBreaks="1" fitToPage="1" state="hidden" view="pageBreakPreview">
      <selection activeCell="B20" sqref="B20:F20"/>
      <pageMargins left="0.7" right="0.7" top="0.75" bottom="0.75" header="0.3" footer="0.3"/>
      <pageSetup orientation="portrait" errors="blank" r:id="rId1"/>
      <headerFooter>
        <oddHeader>&amp;CAlaska LNG Project
GTP Gas Turbine and Utility Heater
Cost Effectiveness Analysis</oddHeader>
        <oddFooter>&amp;RPage &amp;P of &amp;N</oddFooter>
      </headerFooter>
    </customSheetView>
  </customSheetViews>
  <pageMargins left="0.7" right="0.7" top="0.75" bottom="0.75" header="0.3" footer="0.3"/>
  <pageSetup orientation="portrait" errors="blank" r:id="rId2"/>
  <headerFooter>
    <oddHeader>&amp;CAlaska LNG Project
GTP Gas Turbine and Utility Heater
Cost Effectiveness Analysis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8"/>
  <sheetViews>
    <sheetView showGridLines="0" zoomScaleNormal="100" workbookViewId="0">
      <selection activeCell="A3" sqref="A3"/>
    </sheetView>
  </sheetViews>
  <sheetFormatPr defaultColWidth="9.140625" defaultRowHeight="12.75"/>
  <cols>
    <col min="1" max="1" width="42" style="3" customWidth="1"/>
    <col min="2" max="2" width="12.7109375" style="4" customWidth="1"/>
    <col min="3" max="6" width="12.42578125" style="4" customWidth="1"/>
    <col min="7" max="7" width="12.42578125" style="3" hidden="1" customWidth="1"/>
    <col min="8" max="9" width="12.42578125" style="4" hidden="1" customWidth="1"/>
    <col min="10" max="10" width="12.42578125" style="3" hidden="1" customWidth="1"/>
    <col min="11" max="11" width="30.28515625" style="3" hidden="1" customWidth="1"/>
    <col min="12" max="16384" width="9.140625" style="3"/>
  </cols>
  <sheetData>
    <row r="1" spans="1:11">
      <c r="G1" s="151"/>
      <c r="H1" s="57"/>
      <c r="I1" s="57"/>
      <c r="J1" s="151"/>
      <c r="K1" s="151"/>
    </row>
    <row r="2" spans="1:11" ht="18.75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75">
      <c r="A3" s="2" t="s">
        <v>111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A4" s="2" t="s">
        <v>116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customFormat="1" ht="15"/>
    <row r="6" spans="1:11" customFormat="1" ht="16.5" thickBot="1">
      <c r="A6" s="6" t="s">
        <v>91</v>
      </c>
      <c r="B6" s="7"/>
      <c r="C6" s="7"/>
      <c r="D6" s="7"/>
      <c r="E6" s="7"/>
    </row>
    <row r="7" spans="1:11" customFormat="1" ht="16.5" thickTop="1">
      <c r="A7" s="102"/>
      <c r="B7" s="59"/>
      <c r="C7" s="59"/>
      <c r="D7" s="59"/>
      <c r="E7" s="59"/>
    </row>
    <row r="8" spans="1:11" customFormat="1" ht="15">
      <c r="A8" s="3" t="s">
        <v>105</v>
      </c>
    </row>
    <row r="9" spans="1:11" customFormat="1" ht="15">
      <c r="A9" s="3" t="s">
        <v>85</v>
      </c>
    </row>
    <row r="10" spans="1:11" customFormat="1" ht="15">
      <c r="A10" s="3"/>
      <c r="D10" s="104"/>
      <c r="E10" s="104"/>
      <c r="F10" s="4"/>
      <c r="K10" s="103"/>
    </row>
    <row r="11" spans="1:11" customFormat="1" ht="30">
      <c r="A11" s="119" t="s">
        <v>95</v>
      </c>
      <c r="B11" s="118" t="s">
        <v>94</v>
      </c>
      <c r="C11" s="135" t="s">
        <v>98</v>
      </c>
      <c r="D11" s="136" t="s">
        <v>99</v>
      </c>
      <c r="E11" s="137"/>
      <c r="F11" s="4"/>
      <c r="G11" s="63" t="s">
        <v>25</v>
      </c>
      <c r="H11" s="64" t="s">
        <v>31</v>
      </c>
      <c r="I11" s="64" t="s">
        <v>34</v>
      </c>
      <c r="J11" s="64" t="s">
        <v>59</v>
      </c>
      <c r="K11" s="65" t="s">
        <v>32</v>
      </c>
    </row>
    <row r="12" spans="1:11" customFormat="1" ht="15">
      <c r="K12" s="221"/>
    </row>
    <row r="13" spans="1:11" ht="15">
      <c r="A13" s="117" t="s">
        <v>108</v>
      </c>
      <c r="B13" s="177"/>
      <c r="C13" s="120"/>
      <c r="D13" s="38" t="s">
        <v>7</v>
      </c>
      <c r="E13" s="33"/>
      <c r="F13" s="3"/>
      <c r="G13" s="148"/>
      <c r="H13" s="85">
        <f>B13</f>
        <v>0</v>
      </c>
      <c r="I13" s="85" t="s">
        <v>61</v>
      </c>
      <c r="J13" s="143" t="str">
        <f>IF(B13="","Req'd")</f>
        <v>Req'd</v>
      </c>
      <c r="K13" s="222"/>
    </row>
    <row r="14" spans="1:11" customFormat="1" ht="15">
      <c r="K14" s="221"/>
    </row>
    <row r="15" spans="1:11" customFormat="1" ht="15">
      <c r="A15" s="121" t="s">
        <v>92</v>
      </c>
      <c r="B15" s="122"/>
      <c r="C15" s="122"/>
      <c r="D15" s="123"/>
      <c r="E15" s="124"/>
      <c r="F15" s="4"/>
      <c r="K15" s="221"/>
    </row>
    <row r="16" spans="1:11" customFormat="1" ht="30">
      <c r="A16" s="125" t="s">
        <v>47</v>
      </c>
      <c r="B16" s="178"/>
      <c r="C16" s="126">
        <f>0.05*$B$13</f>
        <v>0</v>
      </c>
      <c r="D16" s="39" t="s">
        <v>44</v>
      </c>
      <c r="E16" s="34"/>
      <c r="F16" s="4"/>
      <c r="G16" s="148"/>
      <c r="H16" s="86">
        <f>IF(ISNUMBER(B16),B16,C16)</f>
        <v>0</v>
      </c>
      <c r="I16" s="85" t="s">
        <v>61</v>
      </c>
      <c r="J16" s="143" t="b">
        <v>0</v>
      </c>
      <c r="K16" s="222"/>
    </row>
    <row r="17" spans="1:11" customFormat="1" ht="15">
      <c r="A17" s="127" t="s">
        <v>8</v>
      </c>
      <c r="B17" s="179"/>
      <c r="C17" s="128">
        <f>0.1*$B$13</f>
        <v>0</v>
      </c>
      <c r="D17" s="40" t="s">
        <v>45</v>
      </c>
      <c r="E17" s="35"/>
      <c r="F17" s="4"/>
      <c r="G17" s="148"/>
      <c r="H17" s="86">
        <f>IF(ISNUMBER(B17),B17,C17)</f>
        <v>0</v>
      </c>
      <c r="I17" s="85" t="s">
        <v>61</v>
      </c>
      <c r="J17" s="143" t="b">
        <v>0</v>
      </c>
      <c r="K17" s="222"/>
    </row>
    <row r="18" spans="1:11" customFormat="1" ht="15">
      <c r="A18" s="130" t="s">
        <v>9</v>
      </c>
      <c r="B18" s="180"/>
      <c r="C18" s="131">
        <f>0.05*$B$13</f>
        <v>0</v>
      </c>
      <c r="D18" s="41" t="s">
        <v>44</v>
      </c>
      <c r="E18" s="36"/>
      <c r="F18" s="4"/>
      <c r="G18" s="148"/>
      <c r="H18" s="86">
        <f>IF(ISNUMBER(B18),B18,C18)</f>
        <v>0</v>
      </c>
      <c r="I18" s="85" t="s">
        <v>61</v>
      </c>
      <c r="J18" s="143" t="b">
        <v>0</v>
      </c>
      <c r="K18" s="222"/>
    </row>
    <row r="19" spans="1:11" customFormat="1" ht="15">
      <c r="A19" s="115" t="s">
        <v>10</v>
      </c>
      <c r="B19" s="116">
        <f>H19</f>
        <v>0</v>
      </c>
      <c r="C19" s="129"/>
      <c r="D19" s="42" t="s">
        <v>11</v>
      </c>
      <c r="E19" s="37"/>
      <c r="F19" s="4"/>
      <c r="G19" s="148"/>
      <c r="H19" s="85">
        <f>SUM(H16:H18)</f>
        <v>0</v>
      </c>
      <c r="I19" s="85" t="s">
        <v>61</v>
      </c>
      <c r="J19" s="143"/>
      <c r="K19" s="222"/>
    </row>
    <row r="20" spans="1:11" customFormat="1" ht="15">
      <c r="K20" s="221"/>
    </row>
    <row r="21" spans="1:11" customFormat="1" ht="15">
      <c r="A21" s="121" t="s">
        <v>96</v>
      </c>
      <c r="B21" s="122"/>
      <c r="C21" s="122"/>
      <c r="D21" s="123"/>
      <c r="E21" s="124"/>
      <c r="F21" s="4"/>
      <c r="K21" s="221"/>
    </row>
    <row r="22" spans="1:11" s="5" customFormat="1" ht="15">
      <c r="A22" s="132" t="s">
        <v>12</v>
      </c>
      <c r="B22" s="181"/>
      <c r="C22" s="91">
        <f>0.15*(B13+B19)</f>
        <v>0</v>
      </c>
      <c r="D22" s="80" t="s">
        <v>46</v>
      </c>
      <c r="E22" s="43"/>
      <c r="G22" s="145"/>
      <c r="H22" s="86">
        <f>IF(ISNUMBER(B22),B22,C22)</f>
        <v>0</v>
      </c>
      <c r="I22" s="85" t="s">
        <v>61</v>
      </c>
      <c r="J22" s="143"/>
      <c r="K22" s="223"/>
    </row>
    <row r="23" spans="1:11" s="5" customFormat="1" ht="15">
      <c r="A23" s="133" t="s">
        <v>13</v>
      </c>
      <c r="B23" s="182"/>
      <c r="C23" s="93">
        <f>0.02*SUM(B13,B19,H22)</f>
        <v>0</v>
      </c>
      <c r="D23" s="81" t="s">
        <v>80</v>
      </c>
      <c r="E23" s="44"/>
      <c r="G23" s="145"/>
      <c r="H23" s="86">
        <f>IF(ISNUMBER(B23),B23,C23)</f>
        <v>0</v>
      </c>
      <c r="I23" s="85" t="s">
        <v>61</v>
      </c>
      <c r="J23" s="143"/>
      <c r="K23" s="223"/>
    </row>
    <row r="24" spans="1:11" s="5" customFormat="1" ht="30">
      <c r="A24" s="134" t="s">
        <v>38</v>
      </c>
      <c r="B24" s="183"/>
      <c r="C24" s="92">
        <f>H95*H94</f>
        <v>0</v>
      </c>
      <c r="D24" s="82" t="s">
        <v>81</v>
      </c>
      <c r="E24" s="50"/>
      <c r="G24" s="145"/>
      <c r="H24" s="86">
        <f>IF(ISNUMBER(B24),B24,C24)</f>
        <v>0</v>
      </c>
      <c r="I24" s="85" t="s">
        <v>61</v>
      </c>
      <c r="J24" s="143"/>
      <c r="K24" s="224" t="s">
        <v>144</v>
      </c>
    </row>
    <row r="25" spans="1:11" s="5" customFormat="1" ht="15">
      <c r="A25" s="31" t="s">
        <v>14</v>
      </c>
      <c r="B25" s="94">
        <f>H25</f>
        <v>0</v>
      </c>
      <c r="C25" s="88"/>
      <c r="D25" s="83" t="s">
        <v>48</v>
      </c>
      <c r="E25" s="46"/>
      <c r="G25" s="145"/>
      <c r="H25" s="85">
        <f>SUM(H13,H19,H22,H23,H24)</f>
        <v>0</v>
      </c>
      <c r="I25" s="85" t="s">
        <v>61</v>
      </c>
      <c r="J25" s="143"/>
      <c r="K25" s="223"/>
    </row>
    <row r="26" spans="1:11" ht="15">
      <c r="A26" s="30" t="s">
        <v>19</v>
      </c>
      <c r="B26" s="140">
        <f>B39*B25</f>
        <v>0</v>
      </c>
      <c r="C26" s="139"/>
      <c r="D26" s="79" t="s">
        <v>20</v>
      </c>
      <c r="E26" s="48"/>
      <c r="F26" s="3"/>
      <c r="G26" s="145"/>
      <c r="H26" s="85">
        <f>IF(ISNUMBER(B26),B26,C26)</f>
        <v>0</v>
      </c>
      <c r="I26" s="85"/>
      <c r="J26" s="143"/>
      <c r="K26" s="224" t="s">
        <v>145</v>
      </c>
    </row>
    <row r="27" spans="1:11" ht="15">
      <c r="G27"/>
      <c r="H27"/>
      <c r="I27"/>
      <c r="J27"/>
      <c r="K27" s="221"/>
    </row>
    <row r="28" spans="1:11" customFormat="1" ht="15">
      <c r="A28" s="105" t="s">
        <v>97</v>
      </c>
      <c r="B28" s="106"/>
      <c r="C28" s="106"/>
      <c r="D28" s="106"/>
      <c r="E28" s="107"/>
      <c r="F28" s="4"/>
      <c r="K28" s="221"/>
    </row>
    <row r="29" spans="1:11" s="5" customFormat="1" ht="15">
      <c r="A29" s="173" t="s">
        <v>40</v>
      </c>
      <c r="B29" s="181"/>
      <c r="C29" s="91">
        <v>0</v>
      </c>
      <c r="D29" s="109"/>
      <c r="E29" s="110"/>
      <c r="G29" s="145"/>
      <c r="H29" s="86">
        <f>IF(ISNUMBER(B29),B29,C29)</f>
        <v>0</v>
      </c>
      <c r="I29" s="86"/>
      <c r="J29" s="143"/>
      <c r="K29" s="223"/>
    </row>
    <row r="30" spans="1:11" s="5" customFormat="1" ht="15">
      <c r="A30" s="133" t="s">
        <v>15</v>
      </c>
      <c r="B30" s="182"/>
      <c r="C30" s="93">
        <f>B25*0.015</f>
        <v>0</v>
      </c>
      <c r="D30" s="111" t="s">
        <v>79</v>
      </c>
      <c r="E30" s="112"/>
      <c r="G30" s="145"/>
      <c r="H30" s="86">
        <f>IF(ISNUMBER(B30),B30,C30)</f>
        <v>0</v>
      </c>
      <c r="I30" s="86"/>
      <c r="J30" s="143"/>
      <c r="K30" s="223"/>
    </row>
    <row r="31" spans="1:11" ht="15">
      <c r="A31" s="175" t="s">
        <v>39</v>
      </c>
      <c r="B31" s="184"/>
      <c r="C31" s="93">
        <f>H94*H103*H85</f>
        <v>0</v>
      </c>
      <c r="D31" s="111" t="s">
        <v>41</v>
      </c>
      <c r="E31" s="112"/>
      <c r="F31" s="3"/>
      <c r="G31" s="145"/>
      <c r="H31" s="86">
        <f>IF(ISNUMBER(B31),B31,C31)</f>
        <v>0</v>
      </c>
      <c r="I31" s="86"/>
      <c r="J31" s="143"/>
      <c r="K31" s="225" t="s">
        <v>146</v>
      </c>
    </row>
    <row r="32" spans="1:11" ht="15">
      <c r="A32" s="176" t="s">
        <v>49</v>
      </c>
      <c r="B32" s="184"/>
      <c r="C32" s="89">
        <f>B89*H90*H85</f>
        <v>0</v>
      </c>
      <c r="D32" s="84" t="s">
        <v>93</v>
      </c>
      <c r="E32" s="47"/>
      <c r="F32" s="3"/>
      <c r="G32" s="147"/>
      <c r="H32" s="86">
        <f>IF(ISNUMBER(B32),B32,C32)</f>
        <v>0</v>
      </c>
      <c r="I32" s="86"/>
      <c r="J32" s="143"/>
      <c r="K32" s="225" t="s">
        <v>147</v>
      </c>
    </row>
    <row r="33" spans="1:11" ht="15">
      <c r="A33" s="170" t="s">
        <v>16</v>
      </c>
      <c r="B33" s="185"/>
      <c r="C33" s="90">
        <f>G33</f>
        <v>0</v>
      </c>
      <c r="D33" s="113" t="s">
        <v>93</v>
      </c>
      <c r="E33" s="114"/>
      <c r="F33" s="3"/>
      <c r="G33" s="145">
        <f>IF(OR(H109=0,H108=0),0,H109*H38/(1-(1+H38)^-H108))</f>
        <v>0</v>
      </c>
      <c r="H33" s="86">
        <f>IF(ISNUMBER(B33),B33,C33)</f>
        <v>0</v>
      </c>
      <c r="I33" s="86"/>
      <c r="J33" s="143"/>
      <c r="K33" s="223"/>
    </row>
    <row r="34" spans="1:11" ht="15">
      <c r="A34" s="31" t="s">
        <v>17</v>
      </c>
      <c r="B34" s="94">
        <f>H34</f>
        <v>0</v>
      </c>
      <c r="C34" s="158"/>
      <c r="D34" s="83" t="s">
        <v>29</v>
      </c>
      <c r="E34" s="42"/>
      <c r="F34" s="3"/>
      <c r="G34" s="145"/>
      <c r="H34" s="85">
        <f>SUM(H29:H33)</f>
        <v>0</v>
      </c>
      <c r="I34" s="85"/>
      <c r="J34" s="143"/>
      <c r="K34" s="223"/>
    </row>
    <row r="35" spans="1:11" customFormat="1" ht="15">
      <c r="F35" s="4"/>
      <c r="K35" s="221"/>
    </row>
    <row r="36" spans="1:11" ht="15">
      <c r="A36" s="121" t="s">
        <v>62</v>
      </c>
      <c r="B36" s="123"/>
      <c r="C36" s="123"/>
      <c r="D36" s="123"/>
      <c r="E36" s="124"/>
      <c r="F36"/>
      <c r="G36"/>
      <c r="H36"/>
      <c r="I36"/>
      <c r="J36"/>
      <c r="K36" s="221"/>
    </row>
    <row r="37" spans="1:11" ht="15">
      <c r="A37" s="56" t="s">
        <v>26</v>
      </c>
      <c r="B37" s="181"/>
      <c r="C37" s="52">
        <v>7</v>
      </c>
      <c r="D37" s="109" t="s">
        <v>27</v>
      </c>
      <c r="E37" s="110"/>
      <c r="F37"/>
      <c r="G37" s="146"/>
      <c r="H37" s="78">
        <f>IF(ISNUMBER(B37),B37,C37)</f>
        <v>7</v>
      </c>
      <c r="I37" s="67" t="s">
        <v>37</v>
      </c>
      <c r="J37" s="149" t="b">
        <v>0</v>
      </c>
      <c r="K37" s="222"/>
    </row>
    <row r="38" spans="1:11" ht="15">
      <c r="A38" s="54" t="s">
        <v>4</v>
      </c>
      <c r="B38" s="182"/>
      <c r="C38" s="138">
        <v>7.0000000000000007E-2</v>
      </c>
      <c r="D38" s="111" t="s">
        <v>28</v>
      </c>
      <c r="E38" s="112"/>
      <c r="F38"/>
      <c r="G38" s="146"/>
      <c r="H38" s="78">
        <f>IF(ISNUMBER(B38),B38,C38)</f>
        <v>7.0000000000000007E-2</v>
      </c>
      <c r="I38" s="67" t="s">
        <v>23</v>
      </c>
      <c r="J38" s="149" t="b">
        <v>0</v>
      </c>
      <c r="K38" s="222"/>
    </row>
    <row r="39" spans="1:11" ht="15" customHeight="1">
      <c r="A39" s="55" t="s">
        <v>18</v>
      </c>
      <c r="B39" s="141">
        <f>H38/(1-(1+H38)^-H37)</f>
        <v>0.18555321963115931</v>
      </c>
      <c r="C39" s="142"/>
      <c r="D39" s="113" t="s">
        <v>100</v>
      </c>
      <c r="E39" s="114"/>
      <c r="G39" s="146"/>
      <c r="H39" s="67"/>
      <c r="I39" s="67"/>
      <c r="J39" s="144"/>
      <c r="K39" s="226"/>
    </row>
    <row r="40" spans="1:11" customFormat="1" ht="15">
      <c r="K40" s="221"/>
    </row>
    <row r="41" spans="1:11" s="5" customFormat="1" ht="15">
      <c r="A41" s="30" t="s">
        <v>109</v>
      </c>
      <c r="B41" s="140">
        <f>SUM(B34,B26)</f>
        <v>0</v>
      </c>
      <c r="C41" s="139"/>
      <c r="D41" s="150" t="s">
        <v>22</v>
      </c>
      <c r="E41" s="49"/>
      <c r="G41" s="145"/>
      <c r="H41" s="87">
        <f>IF(ISNUMBER(#REF!),#REF!,H26+H34)</f>
        <v>0</v>
      </c>
      <c r="I41" s="87" t="s">
        <v>82</v>
      </c>
      <c r="J41" s="143"/>
      <c r="K41" s="224" t="s">
        <v>148</v>
      </c>
    </row>
    <row r="42" spans="1:11" s="5" customFormat="1" ht="15">
      <c r="A42" s="19"/>
      <c r="B42" s="13"/>
      <c r="C42" s="23"/>
      <c r="D42" s="22"/>
      <c r="E42" s="13"/>
      <c r="F42" s="15"/>
      <c r="G42" s="10"/>
      <c r="H42" s="22"/>
      <c r="I42" s="22"/>
      <c r="J42" s="10"/>
      <c r="K42" s="10"/>
    </row>
    <row r="43" spans="1:11" s="5" customFormat="1" ht="15">
      <c r="A43" s="19"/>
      <c r="B43" s="13"/>
      <c r="C43" s="23"/>
      <c r="D43" s="22"/>
      <c r="E43" s="13"/>
      <c r="F43" s="15"/>
      <c r="G43" s="10"/>
      <c r="H43" s="22"/>
      <c r="I43" s="22"/>
      <c r="J43" s="10"/>
      <c r="K43" s="10"/>
    </row>
    <row r="44" spans="1:11" customFormat="1" ht="16.5" thickBot="1">
      <c r="A44" s="6" t="s">
        <v>106</v>
      </c>
      <c r="B44" s="7"/>
      <c r="C44" s="7"/>
      <c r="D44" s="7"/>
      <c r="E44" s="7"/>
    </row>
    <row r="45" spans="1:11" s="8" customFormat="1" ht="15.75" thickTop="1">
      <c r="A45" s="29"/>
      <c r="B45" s="11"/>
      <c r="C45" s="25"/>
      <c r="D45" s="25"/>
      <c r="E45" s="25"/>
      <c r="F45"/>
      <c r="G45"/>
      <c r="H45"/>
      <c r="I45"/>
      <c r="J45"/>
      <c r="K45"/>
    </row>
    <row r="46" spans="1:11" s="5" customFormat="1" ht="15">
      <c r="A46" s="51" t="s">
        <v>101</v>
      </c>
      <c r="B46" s="154">
        <f>$H$65*$H$69*$H$85/2000</f>
        <v>0</v>
      </c>
      <c r="C46" s="15"/>
      <c r="E46"/>
      <c r="F46"/>
      <c r="G46" s="10"/>
      <c r="H46"/>
      <c r="I46"/>
      <c r="J46" s="10"/>
      <c r="K46" s="10"/>
    </row>
    <row r="47" spans="1:11" s="5" customFormat="1" ht="15">
      <c r="A47" s="32" t="s">
        <v>102</v>
      </c>
      <c r="B47" s="155">
        <f>SUM($H$65:$H$65)*H74*$H$85/2000</f>
        <v>0</v>
      </c>
      <c r="C47" s="15"/>
      <c r="E47" s="14"/>
      <c r="F47" s="15"/>
      <c r="G47" s="10"/>
      <c r="H47" s="20"/>
      <c r="I47" s="20"/>
      <c r="J47" s="10"/>
      <c r="K47" s="10"/>
    </row>
    <row r="48" spans="1:11" s="5" customFormat="1" ht="15">
      <c r="A48" s="152" t="s">
        <v>103</v>
      </c>
      <c r="B48" s="153">
        <f>B46-B47</f>
        <v>0</v>
      </c>
      <c r="C48" s="15"/>
      <c r="E48"/>
      <c r="F48"/>
      <c r="G48" s="10"/>
      <c r="H48"/>
      <c r="I48"/>
      <c r="J48" s="10"/>
      <c r="K48" s="10"/>
    </row>
    <row r="49" spans="1:11" s="5" customFormat="1" ht="15">
      <c r="A49" s="24"/>
      <c r="B49" s="27"/>
      <c r="C49" s="15"/>
      <c r="E49"/>
      <c r="F49"/>
      <c r="G49" s="10"/>
      <c r="H49"/>
      <c r="I49"/>
      <c r="J49" s="10"/>
      <c r="K49" s="10"/>
    </row>
    <row r="50" spans="1:11" s="5" customFormat="1" ht="15">
      <c r="A50" s="53" t="s">
        <v>21</v>
      </c>
      <c r="B50" s="156">
        <f>B41</f>
        <v>0</v>
      </c>
      <c r="C50" s="15"/>
      <c r="E50"/>
      <c r="F50"/>
      <c r="G50" s="10"/>
      <c r="H50"/>
      <c r="I50"/>
      <c r="J50" s="10"/>
      <c r="K50" s="10"/>
    </row>
    <row r="51" spans="1:11" s="5" customFormat="1" ht="15">
      <c r="A51" s="54" t="s">
        <v>104</v>
      </c>
      <c r="B51" s="157" t="str">
        <f>IF(B48=0,"",B50/B48)</f>
        <v/>
      </c>
      <c r="C51"/>
      <c r="F51" s="9"/>
      <c r="G51" s="10"/>
      <c r="H51" s="28"/>
      <c r="I51" s="28"/>
      <c r="J51" s="10"/>
      <c r="K51" s="10"/>
    </row>
    <row r="52" spans="1:11" s="5" customFormat="1" ht="15">
      <c r="A52" s="229" t="s">
        <v>151</v>
      </c>
      <c r="B52" s="230"/>
      <c r="C52" s="13"/>
      <c r="E52" s="13"/>
      <c r="F52" s="15"/>
      <c r="G52" s="10"/>
      <c r="H52" s="22"/>
      <c r="I52" s="22"/>
      <c r="J52" s="10"/>
      <c r="K52" s="10"/>
    </row>
    <row r="53" spans="1:11" s="5" customFormat="1" ht="15.75" thickBot="1">
      <c r="A53" s="21"/>
      <c r="B53" s="159"/>
      <c r="C53" s="13"/>
      <c r="E53" s="13"/>
      <c r="F53" s="15"/>
      <c r="G53" s="10"/>
      <c r="H53" s="22"/>
      <c r="I53" s="22"/>
      <c r="J53" s="10"/>
      <c r="K53" s="10"/>
    </row>
    <row r="54" spans="1:11" s="5" customFormat="1" ht="15">
      <c r="A54" s="168" t="s">
        <v>110</v>
      </c>
      <c r="B54" s="160"/>
      <c r="C54" s="161"/>
      <c r="D54" s="162"/>
      <c r="E54" s="163"/>
      <c r="F54" s="15"/>
      <c r="G54" s="10"/>
      <c r="H54" s="22"/>
      <c r="I54" s="22"/>
      <c r="J54" s="10"/>
      <c r="K54" s="10"/>
    </row>
    <row r="55" spans="1:11" s="5" customFormat="1" ht="15.75" thickBot="1">
      <c r="A55" s="164" t="str">
        <f>IF(B51="","TBD",IF(B51&gt;B52,"Project costs exceed BACT cost effectiveness threshold and may not be considered cost effective.","Project may be considered cost effective."))</f>
        <v>TBD</v>
      </c>
      <c r="B55" s="165"/>
      <c r="C55" s="166"/>
      <c r="D55" s="166"/>
      <c r="E55" s="167"/>
      <c r="F55" s="15"/>
      <c r="G55" s="10"/>
      <c r="H55" s="22"/>
      <c r="I55" s="22"/>
      <c r="J55" s="10"/>
      <c r="K55" s="10"/>
    </row>
    <row r="56" spans="1:11" s="5" customFormat="1" ht="15">
      <c r="A56" s="19"/>
      <c r="B56" s="13"/>
      <c r="C56" s="22"/>
      <c r="D56" s="22"/>
      <c r="E56" s="13"/>
      <c r="F56" s="15"/>
      <c r="G56" s="10"/>
      <c r="H56" s="22"/>
      <c r="I56" s="22"/>
      <c r="J56" s="10"/>
      <c r="K56" s="10"/>
    </row>
    <row r="57" spans="1:11" s="5" customFormat="1" ht="15">
      <c r="A57" s="19"/>
      <c r="B57" s="13"/>
      <c r="C57" s="22"/>
      <c r="D57" s="22"/>
      <c r="E57" s="13"/>
      <c r="F57" s="15"/>
      <c r="G57" s="10"/>
      <c r="H57" s="22"/>
      <c r="I57" s="22"/>
      <c r="J57" s="10"/>
      <c r="K57" s="10"/>
    </row>
    <row r="58" spans="1:11" customFormat="1" ht="16.5" thickBot="1">
      <c r="A58" s="6" t="s">
        <v>107</v>
      </c>
      <c r="B58" s="7"/>
      <c r="C58" s="7"/>
      <c r="D58" s="7"/>
      <c r="E58" s="7"/>
    </row>
    <row r="59" spans="1:11" ht="15.75" thickTop="1">
      <c r="F59"/>
      <c r="H59" s="3"/>
      <c r="I59" s="3"/>
      <c r="K59"/>
    </row>
    <row r="60" spans="1:11" ht="15">
      <c r="A60" s="3" t="s">
        <v>86</v>
      </c>
      <c r="F60"/>
      <c r="G60"/>
      <c r="H60"/>
      <c r="I60"/>
      <c r="J60"/>
      <c r="K60"/>
    </row>
    <row r="61" spans="1:11" ht="15">
      <c r="A61" s="3" t="s">
        <v>85</v>
      </c>
      <c r="F61"/>
      <c r="G61"/>
      <c r="H61"/>
      <c r="I61"/>
      <c r="J61"/>
      <c r="K61"/>
    </row>
    <row r="62" spans="1:11" ht="15">
      <c r="F62"/>
      <c r="G62"/>
      <c r="H62"/>
      <c r="I62"/>
      <c r="J62"/>
      <c r="K62"/>
    </row>
    <row r="63" spans="1:11" ht="15">
      <c r="A63" s="99" t="s">
        <v>88</v>
      </c>
      <c r="B63" s="98"/>
      <c r="C63" s="98"/>
      <c r="D63" s="98"/>
      <c r="E63" s="98"/>
      <c r="F63"/>
      <c r="G63" s="63" t="s">
        <v>25</v>
      </c>
      <c r="H63" s="64" t="s">
        <v>31</v>
      </c>
      <c r="I63" s="64" t="s">
        <v>34</v>
      </c>
      <c r="J63" s="65" t="s">
        <v>59</v>
      </c>
      <c r="K63" s="65" t="s">
        <v>32</v>
      </c>
    </row>
    <row r="64" spans="1:11" ht="6.75" customHeight="1">
      <c r="A64" s="101"/>
      <c r="B64" s="59"/>
      <c r="C64" s="59"/>
      <c r="D64" s="59"/>
      <c r="E64" s="59"/>
      <c r="F64"/>
      <c r="G64" s="63"/>
      <c r="H64" s="64"/>
      <c r="I64" s="64"/>
      <c r="J64" s="210"/>
      <c r="K64" s="227"/>
    </row>
    <row r="65" spans="1:11" ht="15">
      <c r="A65" s="3" t="s">
        <v>112</v>
      </c>
      <c r="B65" s="186"/>
      <c r="C65" s="60" t="s">
        <v>0</v>
      </c>
      <c r="F65"/>
      <c r="G65" s="75"/>
      <c r="H65" s="67">
        <f>B65</f>
        <v>0</v>
      </c>
      <c r="I65" s="205" t="s">
        <v>0</v>
      </c>
      <c r="J65" s="206" t="str">
        <f>IF(B65="","Req'd")</f>
        <v>Req'd</v>
      </c>
      <c r="K65" s="219"/>
    </row>
    <row r="66" spans="1:11" s="8" customFormat="1" ht="15">
      <c r="B66" s="59"/>
      <c r="C66" s="59"/>
      <c r="D66" s="59"/>
      <c r="E66" s="59"/>
      <c r="F66" s="100"/>
      <c r="G66" s="100"/>
      <c r="H66" s="100"/>
      <c r="I66" s="100"/>
      <c r="J66" s="202"/>
      <c r="K66" s="220"/>
    </row>
    <row r="67" spans="1:11" ht="15">
      <c r="A67" s="99" t="s">
        <v>87</v>
      </c>
      <c r="B67" s="98"/>
      <c r="C67" s="98"/>
      <c r="D67" s="98"/>
      <c r="E67" s="98"/>
      <c r="F67"/>
      <c r="G67"/>
      <c r="H67"/>
      <c r="I67"/>
      <c r="J67" s="1"/>
      <c r="K67" s="221"/>
    </row>
    <row r="68" spans="1:11" ht="6.75" customHeight="1">
      <c r="A68" s="101"/>
      <c r="B68" s="59"/>
      <c r="C68" s="59"/>
      <c r="D68" s="59"/>
      <c r="E68" s="59"/>
      <c r="F68"/>
      <c r="G68"/>
      <c r="H68"/>
      <c r="I68"/>
      <c r="J68" s="1"/>
      <c r="K68" s="221"/>
    </row>
    <row r="69" spans="1:11" ht="15">
      <c r="A69" s="3" t="s">
        <v>118</v>
      </c>
      <c r="B69" s="186"/>
      <c r="C69" s="60" t="s">
        <v>51</v>
      </c>
      <c r="F69"/>
      <c r="G69" s="72">
        <f>B69</f>
        <v>0</v>
      </c>
      <c r="H69" s="71">
        <f>IF(ISNUMBER(B69),G69,IF(ISNUMBER(B70),G70,IF(ISNUMBER(B71),G71,G72)))</f>
        <v>0</v>
      </c>
      <c r="I69" s="204" t="s">
        <v>3</v>
      </c>
      <c r="J69" s="206" t="b">
        <f>IF(OR(B70&lt;&gt;"",B71&lt;&gt;""),"N/A")</f>
        <v>0</v>
      </c>
      <c r="K69" s="219"/>
    </row>
    <row r="70" spans="1:11" ht="15">
      <c r="A70" s="58" t="s">
        <v>50</v>
      </c>
      <c r="B70" s="186"/>
      <c r="C70" s="60" t="s">
        <v>52</v>
      </c>
      <c r="F70"/>
      <c r="G70" s="72">
        <f>B70/$H$80</f>
        <v>0</v>
      </c>
      <c r="H70" s="76"/>
      <c r="I70" s="211"/>
      <c r="J70" s="206" t="b">
        <f>IF(OR(B69&lt;&gt;"",B71&lt;&gt;""),"N/A")</f>
        <v>0</v>
      </c>
      <c r="K70" s="219"/>
    </row>
    <row r="71" spans="1:11" ht="15">
      <c r="A71" s="58" t="s">
        <v>50</v>
      </c>
      <c r="B71" s="186"/>
      <c r="C71" s="60" t="s">
        <v>54</v>
      </c>
      <c r="F71"/>
      <c r="G71" s="72">
        <f>B71*1.194*10^-7*H$81*(20.946/(20.946-3))</f>
        <v>0</v>
      </c>
      <c r="H71" s="76"/>
      <c r="I71" s="211"/>
      <c r="J71" s="206" t="b">
        <f>IF(OR(B69&lt;&gt;"",B70&lt;&gt;""),"N/A")</f>
        <v>0</v>
      </c>
      <c r="K71" s="219"/>
    </row>
    <row r="72" spans="1:11" ht="15">
      <c r="A72" s="58" t="s">
        <v>135</v>
      </c>
      <c r="B72" s="228"/>
      <c r="C72" s="60" t="s">
        <v>54</v>
      </c>
      <c r="F72"/>
      <c r="G72" s="72">
        <f>B72*1.194*10^-7*H$81*(20.946/(20.946-3))</f>
        <v>0</v>
      </c>
      <c r="H72" s="76"/>
      <c r="I72" s="211"/>
      <c r="J72" s="206" t="b">
        <f>IF(COUNTA(B69:B71)&gt;0,"N/A")</f>
        <v>0</v>
      </c>
      <c r="K72" s="219"/>
    </row>
    <row r="73" spans="1:11" ht="15">
      <c r="F73"/>
      <c r="G73"/>
      <c r="H73"/>
      <c r="I73"/>
      <c r="J73" s="1"/>
      <c r="K73" s="221"/>
    </row>
    <row r="74" spans="1:11" ht="15">
      <c r="A74" s="3" t="s">
        <v>67</v>
      </c>
      <c r="B74" s="186"/>
      <c r="C74" s="60" t="s">
        <v>51</v>
      </c>
      <c r="F74"/>
      <c r="G74" s="72">
        <f>B74</f>
        <v>0</v>
      </c>
      <c r="H74" s="71">
        <f>IF(ISNUMBER(B74),G74,IF(ISNUMBER(B75),G75,G76))</f>
        <v>0</v>
      </c>
      <c r="I74" s="204" t="s">
        <v>3</v>
      </c>
      <c r="J74" s="206" t="str">
        <f>IF(COUNTA(B74:B76)=0,"Req'd",IF(OR(B75&lt;&gt;"",B76&lt;&gt;""),"N/A"))</f>
        <v>Req'd</v>
      </c>
      <c r="K74" s="219"/>
    </row>
    <row r="75" spans="1:11" ht="15">
      <c r="A75" s="58" t="s">
        <v>50</v>
      </c>
      <c r="B75" s="186"/>
      <c r="C75" s="60" t="s">
        <v>52</v>
      </c>
      <c r="F75"/>
      <c r="G75" s="72">
        <f>B75/$H$80</f>
        <v>0</v>
      </c>
      <c r="H75" s="76"/>
      <c r="I75" s="211"/>
      <c r="J75" s="206" t="str">
        <f>IF(COUNTA(B74:B76)=0,"Req'd",IF(OR(B74&lt;&gt;"",B76&lt;&gt;""),"N/A"))</f>
        <v>Req'd</v>
      </c>
      <c r="K75" s="219"/>
    </row>
    <row r="76" spans="1:11" ht="15">
      <c r="A76" s="58" t="s">
        <v>50</v>
      </c>
      <c r="B76" s="186"/>
      <c r="C76" s="60" t="s">
        <v>54</v>
      </c>
      <c r="F76"/>
      <c r="G76" s="72">
        <f>B76*1.194*10^-7*H$81*(20.946/(20.946-3))</f>
        <v>0</v>
      </c>
      <c r="H76" s="76"/>
      <c r="I76" s="211"/>
      <c r="J76" s="206" t="str">
        <f>IF(COUNTA(B74:B76)=0,"Req'd",IF(OR(B74&lt;&gt;"",B75&lt;&gt;""),"N/A"))</f>
        <v>Req'd</v>
      </c>
      <c r="K76" s="219"/>
    </row>
    <row r="77" spans="1:11" ht="15">
      <c r="A77" s="8"/>
      <c r="B77" s="59"/>
      <c r="C77" s="59"/>
      <c r="D77" s="59"/>
      <c r="E77" s="59"/>
      <c r="F77"/>
      <c r="G77"/>
      <c r="H77"/>
      <c r="I77"/>
      <c r="J77" s="1"/>
      <c r="K77" s="221"/>
    </row>
    <row r="78" spans="1:11" ht="15">
      <c r="A78" s="99" t="s">
        <v>89</v>
      </c>
      <c r="B78" s="98"/>
      <c r="C78" s="98"/>
      <c r="D78" s="98"/>
      <c r="E78" s="98"/>
      <c r="F78"/>
      <c r="G78"/>
      <c r="H78"/>
      <c r="I78"/>
      <c r="J78" s="1"/>
      <c r="K78" s="221"/>
    </row>
    <row r="79" spans="1:11" ht="6.75" customHeight="1">
      <c r="A79" s="101"/>
      <c r="B79" s="59"/>
      <c r="C79" s="59"/>
      <c r="D79" s="59"/>
      <c r="E79" s="59"/>
      <c r="F79"/>
      <c r="G79"/>
      <c r="H79"/>
      <c r="I79"/>
      <c r="J79" s="1"/>
      <c r="K79" s="221"/>
    </row>
    <row r="80" spans="1:11" ht="15">
      <c r="A80" s="3" t="str">
        <f>"HHV  [Default: "&amp;H80&amp;" " &amp; C80&amp;"]"</f>
        <v>HHV  [Default: 1050 Btu/scf]</v>
      </c>
      <c r="B80" s="186"/>
      <c r="C80" s="60" t="s">
        <v>5</v>
      </c>
      <c r="F80"/>
      <c r="G80" s="66">
        <v>1050</v>
      </c>
      <c r="H80" s="67">
        <f>IF(ISNUMBER(B80),B80,G80)</f>
        <v>1050</v>
      </c>
      <c r="I80" s="205" t="s">
        <v>5</v>
      </c>
      <c r="J80" s="206" t="b">
        <v>0</v>
      </c>
      <c r="K80" s="219"/>
    </row>
    <row r="81" spans="1:11" ht="15">
      <c r="A81" s="3" t="str">
        <f>"F-factor (dry)  [Default: "&amp;H81&amp;" " &amp; C81&amp;"]"</f>
        <v>F-factor (dry)  [Default: 8710 dscf/MMBtu]</v>
      </c>
      <c r="B81" s="186"/>
      <c r="C81" s="60" t="s">
        <v>33</v>
      </c>
      <c r="F81"/>
      <c r="G81" s="66">
        <v>8710</v>
      </c>
      <c r="H81" s="67">
        <f>IF(ISNUMBER(B81),B81,G81)</f>
        <v>8710</v>
      </c>
      <c r="I81" s="205" t="s">
        <v>33</v>
      </c>
      <c r="J81" s="206" t="b">
        <v>0</v>
      </c>
      <c r="K81" s="219"/>
    </row>
    <row r="82" spans="1:11" ht="15">
      <c r="A82" s="8"/>
      <c r="B82" s="59"/>
      <c r="C82" s="59"/>
      <c r="D82" s="59"/>
      <c r="E82" s="59"/>
      <c r="F82"/>
      <c r="G82"/>
      <c r="H82"/>
      <c r="I82"/>
      <c r="J82" s="1"/>
      <c r="K82" s="221"/>
    </row>
    <row r="83" spans="1:11" ht="15">
      <c r="A83" s="99" t="s">
        <v>90</v>
      </c>
      <c r="B83" s="98"/>
      <c r="C83" s="98"/>
      <c r="D83" s="98"/>
      <c r="E83" s="98"/>
      <c r="F83"/>
      <c r="G83"/>
      <c r="H83"/>
      <c r="I83"/>
      <c r="J83" s="1"/>
      <c r="K83" s="221"/>
    </row>
    <row r="84" spans="1:11" ht="6.75" customHeight="1">
      <c r="A84" s="101"/>
      <c r="B84" s="59"/>
      <c r="C84" s="59"/>
      <c r="D84" s="59"/>
      <c r="E84" s="59"/>
      <c r="F84"/>
      <c r="G84"/>
      <c r="H84"/>
      <c r="I84"/>
      <c r="J84" s="1"/>
      <c r="K84" s="221"/>
    </row>
    <row r="85" spans="1:11" ht="15">
      <c r="A85" s="3" t="str">
        <f>"Max annual op hours [Default: "&amp;G85&amp;" " &amp; C85&amp;"]"</f>
        <v>Max annual op hours [Default: 8760 hr/yr]</v>
      </c>
      <c r="B85" s="186"/>
      <c r="C85" s="60" t="s">
        <v>30</v>
      </c>
      <c r="F85"/>
      <c r="G85" s="66">
        <v>8760</v>
      </c>
      <c r="H85" s="67">
        <f>IF(ISNUMBER(B85),B85,G85)</f>
        <v>8760</v>
      </c>
      <c r="I85" s="205" t="s">
        <v>43</v>
      </c>
      <c r="J85" s="206" t="b">
        <v>0</v>
      </c>
      <c r="K85" s="219"/>
    </row>
    <row r="86" spans="1:11" ht="15">
      <c r="A86" s="8"/>
      <c r="B86" s="59"/>
      <c r="C86" s="59"/>
      <c r="D86" s="59"/>
      <c r="E86" s="59"/>
      <c r="F86"/>
      <c r="G86"/>
      <c r="H86"/>
      <c r="I86"/>
      <c r="J86" s="1"/>
      <c r="K86" s="221"/>
    </row>
    <row r="87" spans="1:11" ht="15">
      <c r="A87" s="99" t="s">
        <v>58</v>
      </c>
      <c r="B87" s="98"/>
      <c r="C87" s="98"/>
      <c r="D87" s="98"/>
      <c r="E87" s="98"/>
      <c r="F87"/>
      <c r="G87"/>
      <c r="H87"/>
      <c r="I87"/>
      <c r="J87" s="1"/>
      <c r="K87" s="221"/>
    </row>
    <row r="88" spans="1:11" ht="6.75" customHeight="1">
      <c r="A88" s="101"/>
      <c r="B88" s="59"/>
      <c r="C88" s="59"/>
      <c r="D88" s="59"/>
      <c r="E88" s="59"/>
      <c r="F88"/>
      <c r="G88"/>
      <c r="H88"/>
      <c r="I88"/>
      <c r="J88" s="1"/>
      <c r="K88" s="221"/>
    </row>
    <row r="89" spans="1:11" ht="15">
      <c r="A89" s="3" t="s">
        <v>57</v>
      </c>
      <c r="B89" s="186"/>
      <c r="C89" s="60" t="s">
        <v>42</v>
      </c>
      <c r="F89"/>
      <c r="G89" s="75"/>
      <c r="H89" s="204">
        <f>B89</f>
        <v>0</v>
      </c>
      <c r="I89" s="67" t="str">
        <f>C89</f>
        <v>kW</v>
      </c>
      <c r="J89" s="206" t="str">
        <f>IF(B89="","Req'd")</f>
        <v>Req'd</v>
      </c>
      <c r="K89" s="219"/>
    </row>
    <row r="90" spans="1:11" ht="15">
      <c r="A90" s="3" t="str">
        <f>"Electricity Cost  [Default: "&amp;G90&amp;" " &amp; C90&amp;"]"</f>
        <v>Electricity Cost  [Default: 0.1572 $/kWh]</v>
      </c>
      <c r="B90" s="186"/>
      <c r="C90" s="60" t="s">
        <v>6</v>
      </c>
      <c r="F90"/>
      <c r="G90" s="66">
        <v>0.15720000000000001</v>
      </c>
      <c r="H90" s="209">
        <f>IF(ISNUMBER(B90),B90,G90)</f>
        <v>0.15720000000000001</v>
      </c>
      <c r="I90" s="67" t="s">
        <v>6</v>
      </c>
      <c r="J90" s="206" t="b">
        <v>0</v>
      </c>
      <c r="K90" s="219"/>
    </row>
    <row r="91" spans="1:11" ht="15">
      <c r="A91" s="8"/>
      <c r="B91" s="59"/>
      <c r="C91" s="59"/>
      <c r="D91" s="59"/>
      <c r="E91" s="59"/>
      <c r="F91"/>
      <c r="G91"/>
      <c r="H91"/>
      <c r="I91"/>
      <c r="J91" s="1"/>
      <c r="K91" s="221"/>
    </row>
    <row r="92" spans="1:11" ht="15">
      <c r="A92" s="99" t="s">
        <v>56</v>
      </c>
      <c r="B92" s="98"/>
      <c r="C92" s="98"/>
      <c r="D92" s="98"/>
      <c r="E92" s="98"/>
      <c r="F92"/>
      <c r="G92"/>
      <c r="H92"/>
      <c r="I92"/>
      <c r="J92" s="1"/>
      <c r="K92" s="221"/>
    </row>
    <row r="93" spans="1:11" ht="6.75" customHeight="1">
      <c r="A93" s="101"/>
      <c r="B93" s="59"/>
      <c r="C93" s="59"/>
      <c r="D93" s="59"/>
      <c r="E93" s="59"/>
      <c r="F93"/>
      <c r="G93"/>
      <c r="H93"/>
      <c r="I93"/>
      <c r="J93" s="1"/>
      <c r="K93" s="221"/>
    </row>
    <row r="94" spans="1:11" ht="15">
      <c r="A94" s="3" t="s">
        <v>78</v>
      </c>
      <c r="B94" s="187"/>
      <c r="C94" s="60" t="s">
        <v>68</v>
      </c>
      <c r="F94"/>
      <c r="G94" s="66"/>
      <c r="H94" s="77">
        <f>B94</f>
        <v>0</v>
      </c>
      <c r="I94" s="204" t="str">
        <f>C94</f>
        <v>$/gallon</v>
      </c>
      <c r="J94" s="206" t="str">
        <f>IF(B94="","Req'd")</f>
        <v>Req'd</v>
      </c>
      <c r="K94" s="219"/>
    </row>
    <row r="95" spans="1:11" ht="15">
      <c r="A95" s="3" t="s">
        <v>77</v>
      </c>
      <c r="B95" s="186"/>
      <c r="C95" s="60" t="s">
        <v>69</v>
      </c>
      <c r="F95"/>
      <c r="G95" s="66"/>
      <c r="H95" s="67">
        <f>IF(ISNUMBER(B95),B95,B96*24*H98)</f>
        <v>0</v>
      </c>
      <c r="I95" s="204" t="s">
        <v>69</v>
      </c>
      <c r="J95" s="206" t="str">
        <f>IF(AND(B95="",B96=""),"Req'd")</f>
        <v>Req'd</v>
      </c>
      <c r="K95" s="219"/>
    </row>
    <row r="96" spans="1:11" ht="15">
      <c r="A96" s="58" t="s">
        <v>50</v>
      </c>
      <c r="B96" s="186"/>
      <c r="C96" s="60" t="s">
        <v>70</v>
      </c>
      <c r="F96"/>
      <c r="G96" s="66"/>
      <c r="H96" s="67">
        <f>IF(ISNUMBER(B96),B96,B97*24*H99)</f>
        <v>0</v>
      </c>
      <c r="I96" s="204" t="s">
        <v>69</v>
      </c>
      <c r="J96" s="206" t="str">
        <f>IF(AND(B95="",B96=""),"Req'd",IF(B95&lt;&gt;"","N/A"))</f>
        <v>Req'd</v>
      </c>
      <c r="K96" s="219"/>
    </row>
    <row r="97" spans="1:11" ht="15">
      <c r="B97" s="3"/>
      <c r="F97"/>
      <c r="G97"/>
      <c r="H97"/>
      <c r="I97"/>
      <c r="J97" s="1"/>
      <c r="K97" s="221"/>
    </row>
    <row r="98" spans="1:11" ht="15">
      <c r="A98" s="3" t="s">
        <v>71</v>
      </c>
      <c r="B98" s="186"/>
      <c r="C98" s="60" t="s">
        <v>2</v>
      </c>
      <c r="F98"/>
      <c r="G98" s="66"/>
      <c r="H98" s="67">
        <f>IF(ISNUMBER(B98),B98,H103)</f>
        <v>0</v>
      </c>
      <c r="I98" s="204" t="str">
        <f>C98</f>
        <v>gal/hr</v>
      </c>
      <c r="J98" s="206"/>
      <c r="K98" s="219"/>
    </row>
    <row r="99" spans="1:11" customFormat="1" ht="15">
      <c r="A99" s="8" t="s">
        <v>76</v>
      </c>
      <c r="J99" s="1"/>
      <c r="K99" s="221"/>
    </row>
    <row r="100" spans="1:11" ht="15">
      <c r="A100" s="58" t="str">
        <f>"Stored NH3 concentration  [Default: "&amp;TEXT(G100,"0.0%")&amp;"]"</f>
        <v>Stored NH3 concentration  [Default: 19.4%]</v>
      </c>
      <c r="B100" s="188"/>
      <c r="C100" s="60" t="s">
        <v>35</v>
      </c>
      <c r="D100" s="3"/>
      <c r="E100" s="10"/>
      <c r="F100" s="3"/>
      <c r="G100" s="97">
        <v>0.19400000000000001</v>
      </c>
      <c r="H100" s="95">
        <f>IF(ISNUMBER(B100),B100,G100)</f>
        <v>0.19400000000000001</v>
      </c>
      <c r="I100" s="207" t="s">
        <v>35</v>
      </c>
      <c r="J100" s="206" t="b">
        <f>IF(B$98&lt;&gt;"","N/A")</f>
        <v>0</v>
      </c>
      <c r="K100" s="219"/>
    </row>
    <row r="101" spans="1:11" ht="18">
      <c r="A101" s="58" t="s">
        <v>83</v>
      </c>
      <c r="B101" s="189"/>
      <c r="C101" s="60" t="s">
        <v>1</v>
      </c>
      <c r="D101" s="3"/>
      <c r="E101" s="3"/>
      <c r="F101" s="3"/>
      <c r="G101" s="12">
        <f>(H65*(H69-H74))*(1.05*17.03)/(1*46.01)/H100</f>
        <v>0</v>
      </c>
      <c r="H101" s="96">
        <f>IF(ISNUMBER(B101),B101,G101)</f>
        <v>0</v>
      </c>
      <c r="I101" s="208" t="s">
        <v>1</v>
      </c>
      <c r="J101" s="206" t="b">
        <f>IF(B$98&lt;&gt;"","N/A")</f>
        <v>0</v>
      </c>
      <c r="K101" s="219" t="s">
        <v>149</v>
      </c>
    </row>
    <row r="102" spans="1:11" ht="15">
      <c r="A102" s="58" t="str">
        <f>"NH3 solution density  [Default: "&amp;TEXT(G102,"0.000")&amp;" "&amp;I102&amp;"]"</f>
        <v>NH3 solution density  [Default: 7.782 lb/gal]</v>
      </c>
      <c r="B102" s="189"/>
      <c r="C102" s="60" t="s">
        <v>36</v>
      </c>
      <c r="D102" s="3"/>
      <c r="E102" s="3"/>
      <c r="F102" s="3"/>
      <c r="G102" s="12">
        <f>-3.3395*H100 + 8.4297</f>
        <v>7.7818370000000003</v>
      </c>
      <c r="H102" s="96">
        <f>IF(ISNUMBER(B102),B102,G102)</f>
        <v>7.7818370000000003</v>
      </c>
      <c r="I102" s="208" t="s">
        <v>36</v>
      </c>
      <c r="J102" s="206" t="b">
        <f>IF(B$98&lt;&gt;"","N/A")</f>
        <v>0</v>
      </c>
      <c r="K102" s="219"/>
    </row>
    <row r="103" spans="1:11" ht="18">
      <c r="A103" s="58" t="s">
        <v>84</v>
      </c>
      <c r="B103" s="191">
        <f>G103</f>
        <v>0</v>
      </c>
      <c r="C103" s="60" t="s">
        <v>2</v>
      </c>
      <c r="D103" s="3"/>
      <c r="E103" s="3"/>
      <c r="F103" s="3"/>
      <c r="G103" s="12">
        <f>(H101/H102)</f>
        <v>0</v>
      </c>
      <c r="H103" s="96">
        <f>IF(ISNUMBER(B103),B103,G103)</f>
        <v>0</v>
      </c>
      <c r="I103" s="208" t="s">
        <v>2</v>
      </c>
      <c r="J103" s="206" t="b">
        <f>IF(B$98&lt;&gt;"","N/A")</f>
        <v>0</v>
      </c>
      <c r="K103" s="219" t="s">
        <v>150</v>
      </c>
    </row>
    <row r="104" spans="1:11" ht="15">
      <c r="A104" s="8"/>
      <c r="B104" s="59"/>
      <c r="C104" s="59"/>
      <c r="D104" s="59"/>
      <c r="E104" s="59"/>
      <c r="F104"/>
      <c r="G104"/>
      <c r="H104"/>
      <c r="I104"/>
      <c r="J104" s="1"/>
      <c r="K104" s="221"/>
    </row>
    <row r="105" spans="1:11" ht="15">
      <c r="A105" s="99" t="s">
        <v>60</v>
      </c>
      <c r="B105" s="98"/>
      <c r="C105" s="98"/>
      <c r="D105" s="98"/>
      <c r="E105" s="98"/>
      <c r="F105"/>
      <c r="G105"/>
      <c r="H105"/>
      <c r="I105"/>
      <c r="J105" s="1"/>
      <c r="K105" s="221"/>
    </row>
    <row r="106" spans="1:11" ht="6.75" customHeight="1">
      <c r="A106" s="101"/>
      <c r="B106" s="59"/>
      <c r="C106" s="59"/>
      <c r="D106" s="59"/>
      <c r="E106" s="59"/>
      <c r="F106"/>
      <c r="G106"/>
      <c r="H106"/>
      <c r="I106"/>
      <c r="J106" s="1"/>
      <c r="K106" s="221"/>
    </row>
    <row r="107" spans="1:11" ht="15">
      <c r="A107" s="3" t="s">
        <v>74</v>
      </c>
      <c r="B107" s="190"/>
      <c r="F107"/>
      <c r="G107" s="75"/>
      <c r="H107" s="73">
        <f>B107</f>
        <v>0</v>
      </c>
      <c r="I107" s="204" t="s">
        <v>61</v>
      </c>
      <c r="J107" s="206" t="str">
        <f>IF(B107="","Req'd")</f>
        <v>Req'd</v>
      </c>
      <c r="K107" s="219"/>
    </row>
    <row r="108" spans="1:11" ht="15">
      <c r="A108" s="3" t="s">
        <v>73</v>
      </c>
      <c r="B108" s="186"/>
      <c r="C108" s="60" t="s">
        <v>37</v>
      </c>
      <c r="F108"/>
      <c r="G108" s="75"/>
      <c r="H108" s="67">
        <f>B108</f>
        <v>0</v>
      </c>
      <c r="I108" s="205" t="s">
        <v>37</v>
      </c>
      <c r="J108" s="206" t="str">
        <f>IF(B108="","Req'd")</f>
        <v>Req'd</v>
      </c>
      <c r="K108" s="219"/>
    </row>
    <row r="109" spans="1:11" ht="15">
      <c r="A109" s="3" t="s">
        <v>75</v>
      </c>
      <c r="B109" s="190"/>
      <c r="F109"/>
      <c r="G109" s="74">
        <f>H107</f>
        <v>0</v>
      </c>
      <c r="H109" s="73">
        <f>IF(ISNUMBER(B109),B109,G109)</f>
        <v>0</v>
      </c>
      <c r="I109" s="204" t="s">
        <v>61</v>
      </c>
      <c r="J109" s="206" t="b">
        <v>0</v>
      </c>
      <c r="K109" s="219"/>
    </row>
    <row r="110" spans="1:11" ht="15">
      <c r="A110" s="8"/>
      <c r="B110" s="59"/>
      <c r="C110" s="59"/>
      <c r="D110" s="59"/>
      <c r="E110" s="59"/>
      <c r="F110"/>
      <c r="G110"/>
      <c r="H110"/>
      <c r="I110"/>
      <c r="J110"/>
      <c r="K110"/>
    </row>
    <row r="111" spans="1:11" ht="15">
      <c r="F111"/>
      <c r="G111"/>
      <c r="J111"/>
      <c r="K111"/>
    </row>
    <row r="112" spans="1:11">
      <c r="A112" s="10"/>
      <c r="B112" s="10"/>
      <c r="C112" s="10"/>
      <c r="D112" s="16"/>
      <c r="E112" s="10"/>
      <c r="F112" s="3"/>
      <c r="G112" s="10"/>
      <c r="H112" s="17"/>
      <c r="I112" s="18"/>
      <c r="J112" s="10"/>
      <c r="K112" s="10"/>
    </row>
    <row r="113" spans="1:11">
      <c r="A113" s="10"/>
      <c r="B113" s="26"/>
      <c r="C113" s="26"/>
      <c r="D113" s="26"/>
      <c r="E113" s="26"/>
      <c r="F113" s="26"/>
      <c r="G113" s="10"/>
      <c r="H113" s="26"/>
      <c r="I113" s="26"/>
      <c r="J113" s="10"/>
      <c r="K113" s="10"/>
    </row>
    <row r="114" spans="1:11">
      <c r="A114" s="10"/>
      <c r="B114" s="26"/>
      <c r="C114" s="26"/>
      <c r="D114" s="26"/>
      <c r="E114" s="26"/>
      <c r="F114" s="26"/>
      <c r="G114" s="10"/>
      <c r="H114" s="26"/>
      <c r="I114" s="26"/>
      <c r="J114" s="10"/>
      <c r="K114" s="10"/>
    </row>
    <row r="115" spans="1:11">
      <c r="A115" s="10"/>
      <c r="B115" s="26"/>
      <c r="C115" s="26"/>
      <c r="D115" s="26"/>
      <c r="E115" s="26"/>
      <c r="F115" s="26"/>
      <c r="G115" s="10"/>
      <c r="H115" s="26"/>
      <c r="I115" s="26"/>
      <c r="J115" s="10"/>
      <c r="K115" s="10"/>
    </row>
    <row r="116" spans="1:11">
      <c r="A116" s="10"/>
      <c r="B116" s="26"/>
      <c r="C116" s="26"/>
      <c r="D116" s="26"/>
      <c r="E116" s="26"/>
      <c r="F116" s="26"/>
      <c r="G116" s="10"/>
      <c r="H116" s="26"/>
      <c r="I116" s="26"/>
      <c r="J116" s="10"/>
      <c r="K116" s="10"/>
    </row>
    <row r="117" spans="1:11">
      <c r="A117" s="10"/>
      <c r="B117" s="26"/>
      <c r="C117" s="26"/>
      <c r="D117" s="26"/>
      <c r="E117" s="26"/>
      <c r="F117" s="26"/>
      <c r="G117" s="10"/>
      <c r="H117" s="26"/>
      <c r="I117" s="26"/>
      <c r="J117" s="10"/>
      <c r="K117" s="10"/>
    </row>
    <row r="118" spans="1:11">
      <c r="A118" s="10"/>
      <c r="B118" s="26"/>
      <c r="C118" s="26"/>
      <c r="D118" s="26"/>
      <c r="E118" s="26"/>
      <c r="F118" s="26"/>
      <c r="G118" s="10"/>
      <c r="H118" s="26"/>
      <c r="I118" s="26"/>
      <c r="J118" s="10"/>
      <c r="K118" s="10"/>
    </row>
    <row r="119" spans="1:11">
      <c r="A119" s="10"/>
      <c r="B119" s="26"/>
      <c r="C119" s="26"/>
      <c r="D119" s="26"/>
      <c r="E119" s="26"/>
      <c r="F119" s="26"/>
      <c r="G119" s="10"/>
      <c r="H119" s="26"/>
      <c r="I119" s="26"/>
      <c r="J119" s="10"/>
      <c r="K119" s="10"/>
    </row>
    <row r="120" spans="1:11">
      <c r="A120" s="10"/>
      <c r="B120" s="26"/>
      <c r="C120" s="26"/>
      <c r="D120" s="26"/>
      <c r="E120" s="26"/>
      <c r="F120" s="26"/>
      <c r="G120" s="10"/>
      <c r="H120" s="26"/>
      <c r="I120" s="26"/>
      <c r="J120" s="10"/>
      <c r="K120" s="10"/>
    </row>
    <row r="121" spans="1:11">
      <c r="A121" s="10"/>
      <c r="B121" s="26"/>
      <c r="C121" s="26"/>
      <c r="D121" s="26"/>
      <c r="E121" s="26"/>
      <c r="F121" s="26"/>
      <c r="G121" s="10"/>
      <c r="H121" s="26"/>
      <c r="I121" s="26"/>
      <c r="J121" s="10"/>
      <c r="K121" s="10"/>
    </row>
    <row r="122" spans="1:11">
      <c r="A122" s="10"/>
      <c r="B122" s="26"/>
      <c r="C122" s="26"/>
      <c r="D122" s="26"/>
      <c r="E122" s="26"/>
      <c r="F122" s="26"/>
      <c r="G122" s="10"/>
      <c r="H122" s="26"/>
      <c r="I122" s="26"/>
      <c r="J122" s="10"/>
      <c r="K122" s="10"/>
    </row>
    <row r="123" spans="1:11">
      <c r="A123" s="10"/>
      <c r="B123" s="26"/>
      <c r="C123" s="26"/>
      <c r="D123" s="26"/>
      <c r="E123" s="26"/>
      <c r="F123" s="26"/>
      <c r="G123" s="10"/>
      <c r="H123" s="26"/>
      <c r="I123" s="26"/>
      <c r="J123" s="10"/>
      <c r="K123" s="10"/>
    </row>
    <row r="124" spans="1:11">
      <c r="A124" s="10"/>
      <c r="B124" s="26"/>
      <c r="C124" s="26"/>
      <c r="D124" s="26"/>
      <c r="E124" s="26"/>
      <c r="F124" s="26"/>
      <c r="G124" s="10"/>
      <c r="H124" s="26"/>
      <c r="I124" s="26"/>
      <c r="J124" s="10"/>
      <c r="K124" s="10"/>
    </row>
    <row r="125" spans="1:11">
      <c r="A125" s="10"/>
      <c r="B125" s="26"/>
      <c r="C125" s="26"/>
      <c r="D125" s="26"/>
      <c r="E125" s="26"/>
      <c r="F125" s="26"/>
      <c r="G125" s="10"/>
      <c r="H125" s="26"/>
      <c r="I125" s="26"/>
      <c r="J125" s="10"/>
      <c r="K125" s="10"/>
    </row>
    <row r="126" spans="1:11">
      <c r="A126" s="10"/>
      <c r="B126" s="26"/>
      <c r="C126" s="26"/>
      <c r="D126" s="26"/>
      <c r="E126" s="26"/>
      <c r="F126" s="26"/>
      <c r="G126" s="10"/>
      <c r="H126" s="26"/>
      <c r="I126" s="26"/>
      <c r="J126" s="10"/>
      <c r="K126" s="10"/>
    </row>
    <row r="127" spans="1:11">
      <c r="A127" s="10"/>
      <c r="B127" s="26"/>
      <c r="C127" s="26"/>
      <c r="D127" s="26"/>
      <c r="E127" s="26"/>
      <c r="F127" s="26"/>
      <c r="G127" s="10"/>
      <c r="H127" s="26"/>
      <c r="I127" s="26"/>
      <c r="J127" s="10"/>
      <c r="K127" s="10"/>
    </row>
    <row r="128" spans="1:11">
      <c r="A128" s="10"/>
      <c r="B128" s="26"/>
      <c r="C128" s="26"/>
      <c r="D128" s="26"/>
      <c r="E128" s="26"/>
      <c r="F128" s="26"/>
      <c r="G128" s="10"/>
      <c r="H128" s="26"/>
      <c r="I128" s="26"/>
      <c r="J128" s="10"/>
      <c r="K128" s="10"/>
    </row>
  </sheetData>
  <customSheetViews>
    <customSheetView guid="{9BB43D49-5D78-4E4A-AB52-EDF70C494511}" showPageBreaks="1" showGridLines="0" printArea="1" hiddenColumns="1" state="hidden">
      <selection activeCell="A3" sqref="A3"/>
      <pageMargins left="0.7" right="0.7" top="0.75" bottom="0.75" header="0.3" footer="0.3"/>
      <pageSetup scale="45" fitToHeight="2" orientation="portrait" horizontalDpi="300" verticalDpi="300" r:id="rId1"/>
      <headerFooter alignWithMargins="0">
        <oddHeader>&amp;CAttachment B
NOx BACT Analysis
Based on EPA Algorithms for Traditional SCR</oddHeader>
      </headerFooter>
    </customSheetView>
  </customSheetViews>
  <conditionalFormatting sqref="B13:B43 B45:B57 B59:B71 B73:B110">
    <cfRule type="expression" dxfId="84" priority="4">
      <formula>$J13="N/A"</formula>
    </cfRule>
    <cfRule type="expression" dxfId="83" priority="5">
      <formula>$J13="Req'd"</formula>
    </cfRule>
  </conditionalFormatting>
  <conditionalFormatting sqref="C16:C18 C22:C24 C29:C33 C37:C38">
    <cfRule type="expression" dxfId="82" priority="3">
      <formula>B16&lt;&gt;""</formula>
    </cfRule>
  </conditionalFormatting>
  <conditionalFormatting sqref="B72">
    <cfRule type="expression" dxfId="81" priority="1">
      <formula>$J72="N/A"</formula>
    </cfRule>
    <cfRule type="expression" dxfId="80" priority="2">
      <formula>$J72="Req'd"</formula>
    </cfRule>
  </conditionalFormatting>
  <pageMargins left="0.7" right="0.7" top="0.75" bottom="0.75" header="0.3" footer="0.3"/>
  <pageSetup scale="45" fitToHeight="2" orientation="portrait" horizontalDpi="300" verticalDpi="300" r:id="rId2"/>
  <headerFooter alignWithMargins="0">
    <oddHeader>&amp;CAttachment B
NOx BACT Analysis
Based on EPA Algorithms for Traditional SCR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3"/>
  <sheetViews>
    <sheetView showGridLines="0" topLeftCell="A13" zoomScaleNormal="100" workbookViewId="0">
      <selection activeCell="A3" sqref="A3"/>
    </sheetView>
  </sheetViews>
  <sheetFormatPr defaultColWidth="9.140625" defaultRowHeight="12.75"/>
  <cols>
    <col min="1" max="1" width="42" style="3" customWidth="1"/>
    <col min="2" max="2" width="12.7109375" style="4" customWidth="1"/>
    <col min="3" max="6" width="12.42578125" style="4" customWidth="1"/>
    <col min="7" max="7" width="12.42578125" style="3" hidden="1" customWidth="1"/>
    <col min="8" max="9" width="12.42578125" style="4" hidden="1" customWidth="1"/>
    <col min="10" max="10" width="12.42578125" style="3" hidden="1" customWidth="1"/>
    <col min="11" max="11" width="25.5703125" style="3" hidden="1" customWidth="1"/>
    <col min="12" max="16384" width="9.140625" style="3"/>
  </cols>
  <sheetData>
    <row r="1" spans="1:11">
      <c r="G1" s="151"/>
      <c r="H1" s="57"/>
      <c r="I1" s="57"/>
      <c r="J1" s="151"/>
      <c r="K1" s="151"/>
    </row>
    <row r="2" spans="1:11" ht="18.75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75">
      <c r="A3" s="2" t="s">
        <v>72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A4" s="2" t="s">
        <v>117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8.75">
      <c r="A5" s="2" t="s">
        <v>115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customFormat="1" ht="15"/>
    <row r="7" spans="1:11" customFormat="1" ht="16.5" thickBot="1">
      <c r="A7" s="6" t="s">
        <v>91</v>
      </c>
      <c r="B7" s="7"/>
      <c r="C7" s="7"/>
      <c r="D7" s="7"/>
      <c r="E7" s="7"/>
    </row>
    <row r="8" spans="1:11" customFormat="1" ht="16.5" thickTop="1">
      <c r="A8" s="102"/>
      <c r="B8" s="59"/>
      <c r="C8" s="59"/>
      <c r="D8" s="59"/>
      <c r="E8" s="59"/>
    </row>
    <row r="9" spans="1:11" customFormat="1" ht="15">
      <c r="A9" s="3" t="s">
        <v>105</v>
      </c>
    </row>
    <row r="10" spans="1:11" customFormat="1" ht="15">
      <c r="A10" s="3" t="s">
        <v>114</v>
      </c>
    </row>
    <row r="11" spans="1:11" customFormat="1" ht="15">
      <c r="A11" s="3" t="s">
        <v>85</v>
      </c>
    </row>
    <row r="12" spans="1:11" customFormat="1" ht="15">
      <c r="A12" s="3"/>
      <c r="D12" s="104"/>
      <c r="E12" s="104"/>
      <c r="F12" s="4"/>
      <c r="K12" s="103"/>
    </row>
    <row r="13" spans="1:11" customFormat="1" ht="30">
      <c r="A13" s="119" t="s">
        <v>95</v>
      </c>
      <c r="B13" s="118" t="s">
        <v>94</v>
      </c>
      <c r="C13" s="135" t="s">
        <v>98</v>
      </c>
      <c r="D13" s="136" t="s">
        <v>99</v>
      </c>
      <c r="E13" s="137"/>
      <c r="F13" s="4"/>
      <c r="G13" s="63" t="s">
        <v>25</v>
      </c>
      <c r="H13" s="64" t="s">
        <v>31</v>
      </c>
      <c r="I13" s="64" t="s">
        <v>34</v>
      </c>
      <c r="J13" s="64" t="s">
        <v>59</v>
      </c>
      <c r="K13" s="65" t="s">
        <v>32</v>
      </c>
    </row>
    <row r="14" spans="1:11" customFormat="1" ht="15">
      <c r="K14" s="221"/>
    </row>
    <row r="15" spans="1:11" ht="15">
      <c r="A15" s="117" t="s">
        <v>108</v>
      </c>
      <c r="B15" s="192"/>
      <c r="C15" s="120"/>
      <c r="D15" s="38" t="s">
        <v>7</v>
      </c>
      <c r="E15" s="33"/>
      <c r="F15" s="3"/>
      <c r="G15" s="148"/>
      <c r="H15" s="85">
        <f>B15</f>
        <v>0</v>
      </c>
      <c r="I15" s="85" t="s">
        <v>61</v>
      </c>
      <c r="J15" s="169" t="str">
        <f>IF(B15="","Req'd")</f>
        <v>Req'd</v>
      </c>
      <c r="K15" s="222"/>
    </row>
    <row r="16" spans="1:11" customFormat="1" ht="15">
      <c r="K16" s="221"/>
    </row>
    <row r="17" spans="1:11" customFormat="1" ht="15">
      <c r="A17" s="121" t="s">
        <v>92</v>
      </c>
      <c r="B17" s="122"/>
      <c r="C17" s="122"/>
      <c r="D17" s="123"/>
      <c r="E17" s="124"/>
      <c r="F17" s="4"/>
      <c r="K17" s="221"/>
    </row>
    <row r="18" spans="1:11" customFormat="1" ht="30">
      <c r="A18" s="125" t="s">
        <v>47</v>
      </c>
      <c r="B18" s="193"/>
      <c r="C18" s="126">
        <f>0.05*$B$15</f>
        <v>0</v>
      </c>
      <c r="D18" s="39" t="s">
        <v>44</v>
      </c>
      <c r="E18" s="34"/>
      <c r="F18" s="4"/>
      <c r="G18" s="148"/>
      <c r="H18" s="86">
        <f>IF(ISNUMBER(B18),B18,C18)</f>
        <v>0</v>
      </c>
      <c r="I18" s="85" t="s">
        <v>61</v>
      </c>
      <c r="J18" s="143" t="b">
        <v>0</v>
      </c>
      <c r="K18" s="222"/>
    </row>
    <row r="19" spans="1:11" customFormat="1" ht="15">
      <c r="A19" s="127" t="s">
        <v>8</v>
      </c>
      <c r="B19" s="194"/>
      <c r="C19" s="128">
        <f>0.1*$B$15</f>
        <v>0</v>
      </c>
      <c r="D19" s="40" t="s">
        <v>45</v>
      </c>
      <c r="E19" s="35"/>
      <c r="F19" s="4"/>
      <c r="G19" s="148"/>
      <c r="H19" s="86">
        <f>IF(ISNUMBER(B19),B19,C19)</f>
        <v>0</v>
      </c>
      <c r="I19" s="85" t="s">
        <v>61</v>
      </c>
      <c r="J19" s="143" t="b">
        <v>0</v>
      </c>
      <c r="K19" s="222"/>
    </row>
    <row r="20" spans="1:11" customFormat="1" ht="15">
      <c r="A20" s="130" t="s">
        <v>9</v>
      </c>
      <c r="B20" s="195"/>
      <c r="C20" s="131">
        <f>0.05*$B$15</f>
        <v>0</v>
      </c>
      <c r="D20" s="41" t="s">
        <v>44</v>
      </c>
      <c r="E20" s="36"/>
      <c r="F20" s="4"/>
      <c r="G20" s="148"/>
      <c r="H20" s="86">
        <f>IF(ISNUMBER(B20),B20,C20)</f>
        <v>0</v>
      </c>
      <c r="I20" s="85" t="s">
        <v>61</v>
      </c>
      <c r="J20" s="143" t="b">
        <v>0</v>
      </c>
      <c r="K20" s="222"/>
    </row>
    <row r="21" spans="1:11" customFormat="1" ht="15">
      <c r="A21" s="115" t="s">
        <v>10</v>
      </c>
      <c r="B21" s="116">
        <f>H21</f>
        <v>0</v>
      </c>
      <c r="C21" s="129"/>
      <c r="D21" s="42" t="s">
        <v>11</v>
      </c>
      <c r="E21" s="37"/>
      <c r="F21" s="4"/>
      <c r="G21" s="148"/>
      <c r="H21" s="85">
        <f>SUM(H18:H20)</f>
        <v>0</v>
      </c>
      <c r="I21" s="85" t="s">
        <v>61</v>
      </c>
      <c r="J21" s="143"/>
      <c r="K21" s="222"/>
    </row>
    <row r="22" spans="1:11" customFormat="1" ht="15">
      <c r="K22" s="221"/>
    </row>
    <row r="23" spans="1:11" customFormat="1" ht="15">
      <c r="A23" s="121" t="s">
        <v>96</v>
      </c>
      <c r="B23" s="122"/>
      <c r="C23" s="122"/>
      <c r="D23" s="123"/>
      <c r="E23" s="124"/>
      <c r="F23" s="4"/>
      <c r="K23" s="221"/>
    </row>
    <row r="24" spans="1:11" s="5" customFormat="1" ht="15">
      <c r="A24" s="132" t="s">
        <v>12</v>
      </c>
      <c r="B24" s="196"/>
      <c r="C24" s="91">
        <f>0.15*(B15+B21)</f>
        <v>0</v>
      </c>
      <c r="D24" s="80" t="s">
        <v>46</v>
      </c>
      <c r="E24" s="43"/>
      <c r="G24" s="145"/>
      <c r="H24" s="86">
        <f>IF(ISNUMBER(B24),B24,C24)</f>
        <v>0</v>
      </c>
      <c r="I24" s="85" t="s">
        <v>61</v>
      </c>
      <c r="J24" s="143"/>
      <c r="K24" s="223"/>
    </row>
    <row r="25" spans="1:11" s="5" customFormat="1" ht="15">
      <c r="A25" s="170" t="s">
        <v>13</v>
      </c>
      <c r="B25" s="197"/>
      <c r="C25" s="92">
        <f>0.02*SUM(B15,B21,H24)</f>
        <v>0</v>
      </c>
      <c r="D25" s="108" t="s">
        <v>80</v>
      </c>
      <c r="E25" s="45"/>
      <c r="G25" s="145"/>
      <c r="H25" s="86">
        <f>IF(ISNUMBER(B25),B25,C25)</f>
        <v>0</v>
      </c>
      <c r="I25" s="85" t="s">
        <v>61</v>
      </c>
      <c r="J25" s="143"/>
      <c r="K25" s="223"/>
    </row>
    <row r="26" spans="1:11" s="5" customFormat="1" ht="15">
      <c r="A26" s="31" t="s">
        <v>14</v>
      </c>
      <c r="B26" s="94">
        <f>H26</f>
        <v>0</v>
      </c>
      <c r="C26" s="88"/>
      <c r="D26" s="83" t="s">
        <v>113</v>
      </c>
      <c r="E26" s="46"/>
      <c r="G26" s="145"/>
      <c r="H26" s="85">
        <f>SUM(H15,H21,H24,H25)</f>
        <v>0</v>
      </c>
      <c r="I26" s="85" t="s">
        <v>61</v>
      </c>
      <c r="J26" s="143"/>
      <c r="K26" s="223"/>
    </row>
    <row r="27" spans="1:11" ht="15">
      <c r="A27" s="30" t="s">
        <v>19</v>
      </c>
      <c r="B27" s="140">
        <f>B38*B26</f>
        <v>0</v>
      </c>
      <c r="C27" s="139"/>
      <c r="D27" s="79" t="s">
        <v>20</v>
      </c>
      <c r="E27" s="48"/>
      <c r="F27" s="3"/>
      <c r="G27" s="145"/>
      <c r="H27" s="85">
        <f>IF(ISNUMBER(B27),B27,C27)</f>
        <v>0</v>
      </c>
      <c r="I27" s="85"/>
      <c r="J27" s="143"/>
      <c r="K27" s="224" t="s">
        <v>145</v>
      </c>
    </row>
    <row r="28" spans="1:11" ht="15">
      <c r="G28"/>
      <c r="H28"/>
      <c r="I28"/>
      <c r="J28"/>
      <c r="K28" s="221"/>
    </row>
    <row r="29" spans="1:11" customFormat="1" ht="15">
      <c r="A29" s="105" t="s">
        <v>97</v>
      </c>
      <c r="B29" s="106"/>
      <c r="C29" s="106"/>
      <c r="D29" s="106"/>
      <c r="E29" s="107"/>
      <c r="F29" s="4"/>
      <c r="K29" s="221"/>
    </row>
    <row r="30" spans="1:11" s="5" customFormat="1" ht="15">
      <c r="A30" s="173" t="s">
        <v>40</v>
      </c>
      <c r="B30" s="196"/>
      <c r="C30" s="91">
        <v>0</v>
      </c>
      <c r="D30" s="109"/>
      <c r="E30" s="110"/>
      <c r="G30" s="145"/>
      <c r="H30" s="86">
        <f>IF(ISNUMBER(B30),B30,C30)</f>
        <v>0</v>
      </c>
      <c r="I30" s="86"/>
      <c r="J30" s="143"/>
      <c r="K30" s="223"/>
    </row>
    <row r="31" spans="1:11" s="5" customFormat="1" ht="15">
      <c r="A31" s="133" t="s">
        <v>15</v>
      </c>
      <c r="B31" s="198"/>
      <c r="C31" s="93">
        <f>B26*0.015</f>
        <v>0</v>
      </c>
      <c r="D31" s="111" t="s">
        <v>79</v>
      </c>
      <c r="E31" s="112"/>
      <c r="G31" s="145"/>
      <c r="H31" s="86">
        <f>IF(ISNUMBER(B31),B31,C31)</f>
        <v>0</v>
      </c>
      <c r="I31" s="86"/>
      <c r="J31" s="143"/>
      <c r="K31" s="223"/>
    </row>
    <row r="32" spans="1:11" ht="15">
      <c r="A32" s="174" t="s">
        <v>49</v>
      </c>
      <c r="B32" s="199"/>
      <c r="C32" s="90">
        <f>B93*H94*H89</f>
        <v>0</v>
      </c>
      <c r="D32" s="171"/>
      <c r="E32" s="172"/>
      <c r="F32" s="3"/>
      <c r="G32" s="147"/>
      <c r="H32" s="86">
        <f>IF(ISNUMBER(B32),B32,C32)</f>
        <v>0</v>
      </c>
      <c r="I32" s="86"/>
      <c r="J32" s="143"/>
      <c r="K32" s="225" t="s">
        <v>147</v>
      </c>
    </row>
    <row r="33" spans="1:11" ht="15">
      <c r="A33" s="31" t="s">
        <v>17</v>
      </c>
      <c r="B33" s="94">
        <f>H33</f>
        <v>0</v>
      </c>
      <c r="C33" s="158"/>
      <c r="D33" s="83" t="s">
        <v>29</v>
      </c>
      <c r="E33" s="42"/>
      <c r="F33" s="3"/>
      <c r="G33" s="145"/>
      <c r="H33" s="85">
        <f>SUM(H30:H32)</f>
        <v>0</v>
      </c>
      <c r="I33" s="85"/>
      <c r="J33" s="143"/>
      <c r="K33" s="223"/>
    </row>
    <row r="34" spans="1:11" customFormat="1" ht="15">
      <c r="F34" s="4"/>
      <c r="K34" s="221"/>
    </row>
    <row r="35" spans="1:11" ht="15">
      <c r="A35" s="121" t="s">
        <v>62</v>
      </c>
      <c r="B35" s="123"/>
      <c r="C35" s="123"/>
      <c r="D35" s="123"/>
      <c r="E35" s="124"/>
      <c r="F35"/>
      <c r="G35"/>
      <c r="H35"/>
      <c r="I35"/>
      <c r="J35"/>
      <c r="K35" s="221"/>
    </row>
    <row r="36" spans="1:11" ht="15">
      <c r="A36" s="56" t="s">
        <v>26</v>
      </c>
      <c r="B36" s="181"/>
      <c r="C36" s="52">
        <v>7</v>
      </c>
      <c r="D36" s="109" t="s">
        <v>27</v>
      </c>
      <c r="E36" s="110"/>
      <c r="F36"/>
      <c r="G36" s="146"/>
      <c r="H36" s="78">
        <f>IF(ISNUMBER(B36),B36,C36)</f>
        <v>7</v>
      </c>
      <c r="I36" s="67" t="s">
        <v>37</v>
      </c>
      <c r="J36" s="149" t="b">
        <v>0</v>
      </c>
      <c r="K36" s="222"/>
    </row>
    <row r="37" spans="1:11" ht="15">
      <c r="A37" s="54" t="s">
        <v>4</v>
      </c>
      <c r="B37" s="182"/>
      <c r="C37" s="138">
        <v>7.0000000000000007E-2</v>
      </c>
      <c r="D37" s="111" t="s">
        <v>28</v>
      </c>
      <c r="E37" s="112"/>
      <c r="F37"/>
      <c r="G37" s="146"/>
      <c r="H37" s="78">
        <f>IF(ISNUMBER(B37),B37,C37)</f>
        <v>7.0000000000000007E-2</v>
      </c>
      <c r="I37" s="67" t="s">
        <v>23</v>
      </c>
      <c r="J37" s="149" t="b">
        <v>0</v>
      </c>
      <c r="K37" s="222"/>
    </row>
    <row r="38" spans="1:11" ht="15" customHeight="1">
      <c r="A38" s="55" t="s">
        <v>18</v>
      </c>
      <c r="B38" s="141">
        <f>H37/(1-(1+H37)^-H36)</f>
        <v>0.18555321963115931</v>
      </c>
      <c r="C38" s="142"/>
      <c r="D38" s="113" t="s">
        <v>100</v>
      </c>
      <c r="E38" s="114"/>
      <c r="G38" s="146"/>
      <c r="H38" s="67"/>
      <c r="I38" s="67"/>
      <c r="J38" s="144"/>
      <c r="K38" s="226"/>
    </row>
    <row r="39" spans="1:11" customFormat="1" ht="15">
      <c r="K39" s="221"/>
    </row>
    <row r="40" spans="1:11" s="5" customFormat="1" ht="15">
      <c r="A40" s="30" t="s">
        <v>109</v>
      </c>
      <c r="B40" s="140">
        <f>SUM(B33,B27)</f>
        <v>0</v>
      </c>
      <c r="C40" s="139"/>
      <c r="D40" s="150" t="s">
        <v>22</v>
      </c>
      <c r="E40" s="49"/>
      <c r="G40" s="145"/>
      <c r="H40" s="87">
        <f>IF(ISNUMBER(#REF!),#REF!,H27+H33)</f>
        <v>0</v>
      </c>
      <c r="I40" s="87" t="s">
        <v>82</v>
      </c>
      <c r="J40" s="143"/>
      <c r="K40" s="224" t="s">
        <v>148</v>
      </c>
    </row>
    <row r="41" spans="1:11" s="5" customFormat="1" ht="15">
      <c r="A41" s="19"/>
      <c r="B41" s="13"/>
      <c r="C41" s="23"/>
      <c r="D41" s="22"/>
      <c r="E41" s="13"/>
      <c r="F41" s="15"/>
      <c r="G41" s="10"/>
      <c r="H41" s="22"/>
      <c r="I41" s="22"/>
      <c r="J41" s="10"/>
      <c r="K41" s="10"/>
    </row>
    <row r="42" spans="1:11" s="5" customFormat="1" ht="15">
      <c r="A42" s="19"/>
      <c r="B42" s="13"/>
      <c r="C42" s="23"/>
      <c r="D42" s="22"/>
      <c r="E42" s="13"/>
      <c r="F42" s="15"/>
      <c r="G42" s="10"/>
      <c r="H42" s="22"/>
      <c r="I42" s="22"/>
      <c r="J42" s="10"/>
      <c r="K42" s="10"/>
    </row>
    <row r="43" spans="1:11" customFormat="1" ht="16.5" thickBot="1">
      <c r="A43" s="6" t="s">
        <v>106</v>
      </c>
      <c r="B43" s="7"/>
      <c r="C43" s="7"/>
      <c r="D43" s="7"/>
      <c r="E43" s="7"/>
    </row>
    <row r="44" spans="1:11" s="8" customFormat="1" ht="15.75" thickTop="1">
      <c r="A44" s="29"/>
      <c r="B44" s="11"/>
      <c r="C44" s="25"/>
      <c r="D44" s="25"/>
      <c r="E44" s="25"/>
      <c r="F44"/>
      <c r="G44"/>
      <c r="H44"/>
      <c r="I44"/>
      <c r="J44"/>
      <c r="K44"/>
    </row>
    <row r="45" spans="1:11" s="5" customFormat="1" ht="15">
      <c r="A45" s="51" t="s">
        <v>101</v>
      </c>
      <c r="B45" s="154">
        <f>$H$63*$H$68*$H$89/2000+IF(H64&gt;0,$H$64*$H$73*$H$89/2000)</f>
        <v>0</v>
      </c>
      <c r="C45" s="15"/>
      <c r="E45"/>
      <c r="F45"/>
      <c r="G45" s="10"/>
      <c r="H45"/>
      <c r="I45"/>
      <c r="J45" s="10"/>
      <c r="K45" s="10"/>
    </row>
    <row r="46" spans="1:11" s="5" customFormat="1" ht="15">
      <c r="A46" s="32" t="s">
        <v>102</v>
      </c>
      <c r="B46" s="155">
        <f>SUM($H$63:$H$64)*H78*$H$89/2000</f>
        <v>0</v>
      </c>
      <c r="C46" s="15"/>
      <c r="E46" s="14"/>
      <c r="F46" s="15"/>
      <c r="G46" s="10"/>
      <c r="H46" s="20"/>
      <c r="I46" s="20"/>
      <c r="J46" s="10"/>
      <c r="K46" s="10"/>
    </row>
    <row r="47" spans="1:11" s="5" customFormat="1" ht="15">
      <c r="A47" s="152" t="s">
        <v>103</v>
      </c>
      <c r="B47" s="153">
        <f>B45-B46</f>
        <v>0</v>
      </c>
      <c r="C47" s="15"/>
      <c r="E47"/>
      <c r="F47"/>
      <c r="G47" s="10"/>
      <c r="H47"/>
      <c r="I47"/>
      <c r="J47" s="10"/>
      <c r="K47" s="10"/>
    </row>
    <row r="48" spans="1:11" s="5" customFormat="1" ht="15">
      <c r="A48" s="24"/>
      <c r="B48" s="27"/>
      <c r="C48" s="15"/>
      <c r="E48"/>
      <c r="F48"/>
      <c r="G48" s="10"/>
      <c r="H48"/>
      <c r="I48"/>
      <c r="J48" s="10"/>
      <c r="K48" s="10"/>
    </row>
    <row r="49" spans="1:11" s="5" customFormat="1" ht="15">
      <c r="A49" s="53" t="s">
        <v>21</v>
      </c>
      <c r="B49" s="156">
        <f>B40</f>
        <v>0</v>
      </c>
      <c r="C49" s="15"/>
      <c r="E49"/>
      <c r="F49"/>
      <c r="G49" s="10"/>
      <c r="H49"/>
      <c r="I49"/>
      <c r="J49" s="10"/>
      <c r="K49" s="10"/>
    </row>
    <row r="50" spans="1:11" s="5" customFormat="1" ht="15">
      <c r="A50" s="54" t="s">
        <v>104</v>
      </c>
      <c r="B50" s="157" t="str">
        <f>IF(B47=0,"",B49/B47)</f>
        <v/>
      </c>
      <c r="C50"/>
      <c r="F50" s="9"/>
      <c r="G50" s="10"/>
      <c r="H50" s="28"/>
      <c r="I50" s="28"/>
      <c r="J50" s="10"/>
      <c r="K50" s="10"/>
    </row>
    <row r="51" spans="1:11" s="5" customFormat="1" ht="15">
      <c r="A51" s="229" t="s">
        <v>151</v>
      </c>
      <c r="B51" s="230"/>
      <c r="C51" s="13"/>
      <c r="E51" s="13"/>
      <c r="F51" s="15"/>
      <c r="G51" s="10"/>
      <c r="H51" s="22"/>
      <c r="I51" s="22"/>
      <c r="J51" s="10"/>
      <c r="K51" s="10"/>
    </row>
    <row r="52" spans="1:11" s="5" customFormat="1" ht="15.75" thickBot="1">
      <c r="A52" s="21"/>
      <c r="B52" s="159"/>
      <c r="C52" s="13"/>
      <c r="E52" s="13"/>
      <c r="F52" s="15"/>
      <c r="G52" s="10"/>
      <c r="H52" s="22"/>
      <c r="I52" s="22"/>
      <c r="J52" s="10"/>
      <c r="K52" s="10"/>
    </row>
    <row r="53" spans="1:11" s="5" customFormat="1" ht="15">
      <c r="A53" s="168" t="s">
        <v>110</v>
      </c>
      <c r="B53" s="160"/>
      <c r="C53" s="161"/>
      <c r="D53" s="162"/>
      <c r="E53" s="163"/>
      <c r="F53" s="15"/>
      <c r="G53" s="10"/>
      <c r="H53" s="22"/>
      <c r="I53" s="22"/>
      <c r="J53" s="10"/>
      <c r="K53" s="10"/>
    </row>
    <row r="54" spans="1:11" s="5" customFormat="1" ht="15.75" thickBot="1">
      <c r="A54" s="164" t="str">
        <f>IF(B50="","TBD",IF(B50&gt;B51,"Project costs exceed BACT cost effectiveness threshold and may not be considered cost effective.","Project may be considered cost effective."))</f>
        <v>TBD</v>
      </c>
      <c r="B54" s="165"/>
      <c r="C54" s="166"/>
      <c r="D54" s="166"/>
      <c r="E54" s="167"/>
      <c r="F54" s="15"/>
      <c r="G54" s="10"/>
      <c r="H54" s="22"/>
      <c r="I54" s="22"/>
      <c r="J54" s="10"/>
      <c r="K54" s="10"/>
    </row>
    <row r="55" spans="1:11" s="5" customFormat="1" ht="15">
      <c r="A55" s="19"/>
      <c r="B55" s="13"/>
      <c r="C55" s="22"/>
      <c r="D55" s="22"/>
      <c r="E55" s="13"/>
      <c r="F55" s="15"/>
      <c r="G55" s="10"/>
      <c r="H55" s="22"/>
      <c r="I55" s="22"/>
      <c r="J55" s="10"/>
      <c r="K55" s="10"/>
    </row>
    <row r="56" spans="1:11" customFormat="1" ht="16.5" thickBot="1">
      <c r="A56" s="6" t="s">
        <v>107</v>
      </c>
      <c r="B56" s="7"/>
      <c r="C56" s="7"/>
      <c r="D56" s="7"/>
      <c r="E56" s="7"/>
    </row>
    <row r="57" spans="1:11" ht="15.75" thickTop="1">
      <c r="F57"/>
      <c r="H57" s="3"/>
      <c r="I57" s="3"/>
      <c r="K57"/>
    </row>
    <row r="58" spans="1:11" ht="15">
      <c r="A58" s="3" t="s">
        <v>86</v>
      </c>
      <c r="F58"/>
      <c r="G58"/>
      <c r="H58"/>
      <c r="I58"/>
      <c r="J58"/>
      <c r="K58"/>
    </row>
    <row r="59" spans="1:11" ht="15">
      <c r="A59" s="3" t="s">
        <v>85</v>
      </c>
      <c r="F59"/>
      <c r="G59"/>
      <c r="H59"/>
      <c r="I59"/>
      <c r="J59"/>
      <c r="K59"/>
    </row>
    <row r="60" spans="1:11" ht="15">
      <c r="F60"/>
      <c r="G60"/>
      <c r="H60"/>
      <c r="I60"/>
      <c r="J60"/>
      <c r="K60"/>
    </row>
    <row r="61" spans="1:11" ht="15">
      <c r="A61" s="99" t="s">
        <v>88</v>
      </c>
      <c r="B61" s="98"/>
      <c r="C61" s="98"/>
      <c r="D61" s="98"/>
      <c r="E61" s="98"/>
      <c r="F61"/>
      <c r="G61" s="63" t="s">
        <v>25</v>
      </c>
      <c r="H61" s="64" t="s">
        <v>31</v>
      </c>
      <c r="I61" s="212" t="s">
        <v>34</v>
      </c>
      <c r="J61" s="64" t="s">
        <v>59</v>
      </c>
      <c r="K61" s="65" t="s">
        <v>32</v>
      </c>
    </row>
    <row r="62" spans="1:11" ht="6.75" customHeight="1">
      <c r="A62" s="101"/>
      <c r="B62" s="59"/>
      <c r="C62" s="59"/>
      <c r="D62" s="59"/>
      <c r="E62" s="59"/>
      <c r="F62"/>
      <c r="G62" s="63"/>
      <c r="H62" s="64"/>
      <c r="I62" s="212"/>
      <c r="J62" s="64"/>
      <c r="K62" s="65"/>
    </row>
    <row r="63" spans="1:11" ht="15">
      <c r="A63" s="3" t="s">
        <v>63</v>
      </c>
      <c r="B63" s="186"/>
      <c r="C63" s="60" t="s">
        <v>0</v>
      </c>
      <c r="F63"/>
      <c r="G63" s="75"/>
      <c r="H63" s="67">
        <f>B63</f>
        <v>0</v>
      </c>
      <c r="I63" s="205" t="s">
        <v>0</v>
      </c>
      <c r="J63" s="206" t="str">
        <f>IF(B63="","Req'd")</f>
        <v>Req'd</v>
      </c>
      <c r="K63" s="69"/>
    </row>
    <row r="64" spans="1:11" ht="15" hidden="1">
      <c r="A64" s="3" t="s">
        <v>64</v>
      </c>
      <c r="B64" s="61">
        <v>0</v>
      </c>
      <c r="C64" s="60" t="s">
        <v>0</v>
      </c>
      <c r="F64"/>
      <c r="G64" s="75"/>
      <c r="H64" s="67">
        <f>B64</f>
        <v>0</v>
      </c>
      <c r="I64" s="68" t="s">
        <v>0</v>
      </c>
      <c r="J64" s="214" t="b">
        <v>0</v>
      </c>
      <c r="K64" s="214"/>
    </row>
    <row r="65" spans="1:11" s="8" customFormat="1" ht="15">
      <c r="B65" s="59"/>
      <c r="C65" s="59"/>
      <c r="D65" s="59"/>
      <c r="E65" s="59"/>
      <c r="F65" s="100"/>
      <c r="G65" s="100"/>
      <c r="H65" s="100"/>
      <c r="I65" s="100"/>
      <c r="J65" s="100"/>
      <c r="K65" s="100"/>
    </row>
    <row r="66" spans="1:11" ht="15">
      <c r="A66" s="99" t="s">
        <v>87</v>
      </c>
      <c r="B66" s="98"/>
      <c r="C66" s="98"/>
      <c r="D66" s="98"/>
      <c r="E66" s="98"/>
      <c r="F66"/>
      <c r="G66"/>
      <c r="H66"/>
      <c r="I66"/>
      <c r="J66"/>
      <c r="K66"/>
    </row>
    <row r="67" spans="1:11" ht="6.75" customHeight="1">
      <c r="A67" s="101"/>
      <c r="B67" s="59"/>
      <c r="C67" s="59"/>
      <c r="D67" s="59"/>
      <c r="E67" s="59"/>
      <c r="F67"/>
      <c r="G67"/>
      <c r="H67"/>
      <c r="I67"/>
      <c r="J67"/>
      <c r="K67"/>
    </row>
    <row r="68" spans="1:11" ht="15">
      <c r="A68" s="3" t="s">
        <v>65</v>
      </c>
      <c r="B68" s="186"/>
      <c r="C68" s="60" t="s">
        <v>51</v>
      </c>
      <c r="F68"/>
      <c r="G68" s="72">
        <f>B68</f>
        <v>0</v>
      </c>
      <c r="H68" s="71">
        <f>IF(ISNUMBER(B68),G68,IF(ISNUMBER(B69),G69,IF(ISNUMBER(B70),G70,G71)))</f>
        <v>0</v>
      </c>
      <c r="I68" s="204" t="s">
        <v>3</v>
      </c>
      <c r="J68" s="213" t="b">
        <f>IF(OR(B69&lt;&gt;"",B70&lt;&gt;""),"N/A")</f>
        <v>0</v>
      </c>
      <c r="K68" s="70"/>
    </row>
    <row r="69" spans="1:11" ht="15">
      <c r="A69" s="58" t="s">
        <v>50</v>
      </c>
      <c r="B69" s="186"/>
      <c r="C69" s="60" t="s">
        <v>52</v>
      </c>
      <c r="F69"/>
      <c r="G69" s="72">
        <f>B69/$H$84</f>
        <v>0</v>
      </c>
      <c r="H69" s="76"/>
      <c r="I69" s="211"/>
      <c r="J69" s="213" t="b">
        <f>IF(OR(B68&lt;&gt;"",B70&lt;&gt;""),"N/A")</f>
        <v>0</v>
      </c>
      <c r="K69" s="70"/>
    </row>
    <row r="70" spans="1:11" ht="15">
      <c r="A70" s="58" t="s">
        <v>50</v>
      </c>
      <c r="B70" s="186"/>
      <c r="C70" s="60" t="s">
        <v>53</v>
      </c>
      <c r="F70"/>
      <c r="G70" s="72">
        <f>B70*1.194*10^-7*H$85*(20.946/(20.946-15))</f>
        <v>0</v>
      </c>
      <c r="H70" s="76"/>
      <c r="I70" s="211"/>
      <c r="J70" s="213" t="b">
        <f>IF(OR(B68&lt;&gt;"",B69&lt;&gt;""),"N/A")</f>
        <v>0</v>
      </c>
      <c r="K70" s="70"/>
    </row>
    <row r="71" spans="1:11" ht="15">
      <c r="A71" s="58" t="s">
        <v>135</v>
      </c>
      <c r="B71" s="228"/>
      <c r="C71" s="60" t="s">
        <v>53</v>
      </c>
      <c r="F71"/>
      <c r="G71" s="72">
        <f>B71*1.194*10^-7*H$85*(20.946/(20.946-15))</f>
        <v>0</v>
      </c>
      <c r="H71" s="76"/>
      <c r="I71" s="211"/>
      <c r="J71" s="213" t="b">
        <f>IF(COUNTA(B68:B70)&gt;0,"N/A")</f>
        <v>0</v>
      </c>
      <c r="K71" s="70"/>
    </row>
    <row r="72" spans="1:11" ht="15" hidden="1">
      <c r="F72"/>
      <c r="G72"/>
      <c r="H72"/>
      <c r="I72"/>
      <c r="J72"/>
      <c r="K72"/>
    </row>
    <row r="73" spans="1:11" ht="15" hidden="1">
      <c r="A73" s="3" t="s">
        <v>66</v>
      </c>
      <c r="B73" s="61"/>
      <c r="C73" s="60" t="s">
        <v>51</v>
      </c>
      <c r="F73"/>
      <c r="G73" s="72">
        <f>B73</f>
        <v>0</v>
      </c>
      <c r="H73" s="71">
        <f>IF(ISNUMBER(B73),G73,IF(ISNUMBER(B74),G74,IF(ISNUMBER(B75),G75,G76)))</f>
        <v>3.6414736549648941E-2</v>
      </c>
      <c r="I73" s="204" t="s">
        <v>3</v>
      </c>
      <c r="J73" s="213" t="b">
        <f>IF(OR(B74&lt;&gt;"",B75&lt;&gt;""),"N/A")</f>
        <v>0</v>
      </c>
      <c r="K73" s="70"/>
    </row>
    <row r="74" spans="1:11" ht="15" hidden="1">
      <c r="A74" s="58" t="s">
        <v>50</v>
      </c>
      <c r="B74" s="61"/>
      <c r="C74" s="60" t="s">
        <v>52</v>
      </c>
      <c r="F74"/>
      <c r="G74" s="72">
        <f>B74/$H$84</f>
        <v>0</v>
      </c>
      <c r="H74" s="76"/>
      <c r="I74" s="211"/>
      <c r="J74" s="213" t="b">
        <f>IF(OR(B73&lt;&gt;"",B75&lt;&gt;""),"N/A")</f>
        <v>0</v>
      </c>
      <c r="K74" s="70"/>
    </row>
    <row r="75" spans="1:11" ht="15" hidden="1">
      <c r="A75" s="58" t="s">
        <v>50</v>
      </c>
      <c r="B75" s="61"/>
      <c r="C75" s="60" t="s">
        <v>54</v>
      </c>
      <c r="F75"/>
      <c r="G75" s="72">
        <f>B75*1.194*10^-7*H$85*(20.946/(20.946-3))</f>
        <v>0</v>
      </c>
      <c r="H75" s="76"/>
      <c r="I75" s="211"/>
      <c r="J75" s="213" t="b">
        <f>IF(OR(B73&lt;&gt;"",B74&lt;&gt;""),"N/A")</f>
        <v>0</v>
      </c>
      <c r="K75" s="70"/>
    </row>
    <row r="76" spans="1:11" ht="15" hidden="1">
      <c r="A76" s="58" t="s">
        <v>50</v>
      </c>
      <c r="B76" s="62" t="s">
        <v>55</v>
      </c>
      <c r="C76" s="60"/>
      <c r="F76"/>
      <c r="G76" s="72">
        <f>30*1.194*10^-7*H$85*(20.946/(20.946-3))</f>
        <v>3.6414736549648941E-2</v>
      </c>
      <c r="H76" s="76"/>
      <c r="I76" s="211"/>
      <c r="J76" s="213" t="b">
        <f>IF(COUNTA(B73:B75)&gt;0,"N/A")</f>
        <v>0</v>
      </c>
      <c r="K76" s="70"/>
    </row>
    <row r="77" spans="1:11" ht="15">
      <c r="F77"/>
      <c r="G77"/>
      <c r="H77"/>
      <c r="I77"/>
      <c r="J77"/>
      <c r="K77"/>
    </row>
    <row r="78" spans="1:11" ht="15">
      <c r="A78" s="3" t="s">
        <v>67</v>
      </c>
      <c r="B78" s="186"/>
      <c r="C78" s="60" t="s">
        <v>51</v>
      </c>
      <c r="F78"/>
      <c r="G78" s="72">
        <f>B78</f>
        <v>0</v>
      </c>
      <c r="H78" s="71">
        <f>IF(ISNUMBER(B78),G78,IF(ISNUMBER(B79),G79,G80))</f>
        <v>0</v>
      </c>
      <c r="I78" s="204" t="s">
        <v>3</v>
      </c>
      <c r="J78" s="206" t="str">
        <f>IF(COUNTA(B78:B80)=0,"Req'd",IF(OR(B79&lt;&gt;"",B80&lt;&gt;""),"N/A"))</f>
        <v>Req'd</v>
      </c>
      <c r="K78" s="69"/>
    </row>
    <row r="79" spans="1:11" ht="15">
      <c r="A79" s="58" t="s">
        <v>50</v>
      </c>
      <c r="B79" s="186"/>
      <c r="C79" s="60" t="s">
        <v>52</v>
      </c>
      <c r="F79"/>
      <c r="G79" s="72">
        <f>B79/$H$84</f>
        <v>0</v>
      </c>
      <c r="H79" s="76"/>
      <c r="I79" s="211"/>
      <c r="J79" s="206" t="str">
        <f>IF(COUNTA(B78:B80)=0,"Req'd",IF(OR(B78&lt;&gt;"",B80&lt;&gt;""),"N/A"))</f>
        <v>Req'd</v>
      </c>
      <c r="K79" s="69"/>
    </row>
    <row r="80" spans="1:11" ht="15">
      <c r="A80" s="58" t="s">
        <v>50</v>
      </c>
      <c r="B80" s="186"/>
      <c r="C80" s="60" t="s">
        <v>53</v>
      </c>
      <c r="F80"/>
      <c r="G80" s="72">
        <f>B80*1.194*10^-7*H$85*(20.946/(20.946-15))</f>
        <v>0</v>
      </c>
      <c r="H80" s="76"/>
      <c r="I80" s="211"/>
      <c r="J80" s="206" t="str">
        <f>IF(COUNTA(B78:B80)=0,"Req'd",IF(OR(B78&lt;&gt;"",B79&lt;&gt;""),"N/A"))</f>
        <v>Req'd</v>
      </c>
      <c r="K80" s="69"/>
    </row>
    <row r="81" spans="1:11" ht="15">
      <c r="A81" s="8"/>
      <c r="B81" s="59"/>
      <c r="C81" s="59"/>
      <c r="D81" s="59"/>
      <c r="E81" s="59"/>
      <c r="F81"/>
      <c r="G81"/>
      <c r="H81"/>
      <c r="I81"/>
      <c r="J81"/>
      <c r="K81"/>
    </row>
    <row r="82" spans="1:11" ht="15">
      <c r="A82" s="99" t="s">
        <v>89</v>
      </c>
      <c r="B82" s="98"/>
      <c r="C82" s="98"/>
      <c r="D82" s="98"/>
      <c r="E82" s="98"/>
      <c r="F82"/>
      <c r="G82"/>
      <c r="H82"/>
      <c r="I82"/>
      <c r="J82"/>
      <c r="K82"/>
    </row>
    <row r="83" spans="1:11" ht="6.75" customHeight="1">
      <c r="A83" s="101"/>
      <c r="B83" s="59"/>
      <c r="C83" s="59"/>
      <c r="D83" s="59"/>
      <c r="E83" s="59"/>
      <c r="F83"/>
      <c r="G83"/>
      <c r="H83"/>
      <c r="I83"/>
      <c r="J83"/>
      <c r="K83"/>
    </row>
    <row r="84" spans="1:11" ht="15">
      <c r="A84" s="3" t="str">
        <f>"HHV  [Default: "&amp;H84&amp;" " &amp; C84&amp;"]"</f>
        <v>HHV  [Default: 1050 Btu/scf]</v>
      </c>
      <c r="B84" s="186"/>
      <c r="C84" s="60" t="s">
        <v>5</v>
      </c>
      <c r="F84"/>
      <c r="G84" s="66">
        <v>1050</v>
      </c>
      <c r="H84" s="67">
        <f>IF(ISNUMBER(B84),B84,G84)</f>
        <v>1050</v>
      </c>
      <c r="I84" s="205" t="s">
        <v>5</v>
      </c>
      <c r="J84" s="213" t="b">
        <v>0</v>
      </c>
      <c r="K84" s="70"/>
    </row>
    <row r="85" spans="1:11" ht="15">
      <c r="A85" s="3" t="str">
        <f>"F-factor (dry)  [Default: "&amp;H85&amp;" " &amp; C85&amp;"]"</f>
        <v>F-factor (dry)  [Default: 8710 dscf/MMBtu]</v>
      </c>
      <c r="B85" s="186"/>
      <c r="C85" s="60" t="s">
        <v>33</v>
      </c>
      <c r="F85"/>
      <c r="G85" s="66">
        <v>8710</v>
      </c>
      <c r="H85" s="67">
        <f>IF(ISNUMBER(B85),B85,G85)</f>
        <v>8710</v>
      </c>
      <c r="I85" s="205" t="s">
        <v>33</v>
      </c>
      <c r="J85" s="213" t="b">
        <v>0</v>
      </c>
      <c r="K85" s="70"/>
    </row>
    <row r="86" spans="1:11" ht="15">
      <c r="A86" s="8"/>
      <c r="B86" s="59"/>
      <c r="C86" s="59"/>
      <c r="D86" s="59"/>
      <c r="E86" s="59"/>
      <c r="F86"/>
      <c r="G86"/>
      <c r="H86"/>
      <c r="I86"/>
      <c r="J86"/>
      <c r="K86"/>
    </row>
    <row r="87" spans="1:11" ht="15">
      <c r="A87" s="99" t="s">
        <v>90</v>
      </c>
      <c r="B87" s="98"/>
      <c r="C87" s="98"/>
      <c r="D87" s="98"/>
      <c r="E87" s="98"/>
      <c r="F87"/>
      <c r="G87"/>
      <c r="H87"/>
      <c r="I87"/>
      <c r="J87"/>
      <c r="K87"/>
    </row>
    <row r="88" spans="1:11" ht="6.75" customHeight="1">
      <c r="A88" s="101"/>
      <c r="B88" s="59"/>
      <c r="C88" s="59"/>
      <c r="D88" s="59"/>
      <c r="E88" s="59"/>
      <c r="F88"/>
      <c r="G88"/>
      <c r="H88"/>
      <c r="I88"/>
      <c r="J88"/>
      <c r="K88"/>
    </row>
    <row r="89" spans="1:11" ht="15">
      <c r="A89" s="3" t="str">
        <f>"Max annual op hours [Default: "&amp;G89&amp;" " &amp; C89&amp;"]"</f>
        <v>Max annual op hours [Default: 8760 hr/yr]</v>
      </c>
      <c r="B89" s="186"/>
      <c r="C89" s="60" t="s">
        <v>30</v>
      </c>
      <c r="F89"/>
      <c r="G89" s="66">
        <v>8760</v>
      </c>
      <c r="H89" s="67">
        <f>IF(ISNUMBER(B89),B89,G89)</f>
        <v>8760</v>
      </c>
      <c r="I89" s="205" t="s">
        <v>43</v>
      </c>
      <c r="J89" s="213" t="b">
        <v>0</v>
      </c>
      <c r="K89" s="70"/>
    </row>
    <row r="90" spans="1:11" ht="15">
      <c r="A90" s="8"/>
      <c r="B90" s="59"/>
      <c r="C90" s="59"/>
      <c r="D90" s="59"/>
      <c r="E90" s="59"/>
      <c r="F90"/>
      <c r="G90"/>
      <c r="H90"/>
      <c r="I90"/>
      <c r="J90"/>
      <c r="K90"/>
    </row>
    <row r="91" spans="1:11" ht="15">
      <c r="A91" s="99" t="s">
        <v>58</v>
      </c>
      <c r="B91" s="98"/>
      <c r="C91" s="98"/>
      <c r="D91" s="98"/>
      <c r="E91" s="98"/>
      <c r="F91"/>
      <c r="G91"/>
      <c r="H91"/>
      <c r="I91"/>
      <c r="J91"/>
      <c r="K91"/>
    </row>
    <row r="92" spans="1:11" ht="6.75" customHeight="1">
      <c r="A92" s="101"/>
      <c r="B92" s="59"/>
      <c r="C92" s="59"/>
      <c r="D92" s="59"/>
      <c r="E92" s="59"/>
      <c r="F92"/>
      <c r="G92"/>
      <c r="H92"/>
      <c r="I92"/>
      <c r="J92"/>
      <c r="K92"/>
    </row>
    <row r="93" spans="1:11" ht="15">
      <c r="A93" s="3" t="str">
        <f>"Power demand  [Default: "&amp;G93&amp;" " &amp; C93&amp;"]"</f>
        <v>Power demand  [Default: 0 kW]</v>
      </c>
      <c r="B93" s="186"/>
      <c r="C93" s="60" t="s">
        <v>42</v>
      </c>
      <c r="F93"/>
      <c r="G93" s="148">
        <v>0</v>
      </c>
      <c r="H93" s="67">
        <f>IF(ISNUMBER(B93),B93,G93)</f>
        <v>0</v>
      </c>
      <c r="I93" s="204" t="str">
        <f>C93</f>
        <v>kW</v>
      </c>
      <c r="J93" s="206" t="b">
        <v>0</v>
      </c>
      <c r="K93" s="69"/>
    </row>
    <row r="94" spans="1:11" ht="15">
      <c r="A94" s="3" t="str">
        <f>"Electricity Cost  [Default: "&amp;G94&amp;" " &amp; C94&amp;"]"</f>
        <v>Electricity Cost  [Default: 0.1572 $/kWh]</v>
      </c>
      <c r="B94" s="186"/>
      <c r="C94" s="60" t="s">
        <v>6</v>
      </c>
      <c r="F94"/>
      <c r="G94" s="66">
        <v>0.15720000000000001</v>
      </c>
      <c r="H94" s="77">
        <f>IF(ISNUMBER(B94),B94,G94)</f>
        <v>0.15720000000000001</v>
      </c>
      <c r="I94" s="204" t="s">
        <v>6</v>
      </c>
      <c r="J94" s="213" t="b">
        <v>0</v>
      </c>
      <c r="K94" s="70"/>
    </row>
    <row r="95" spans="1:11" ht="15">
      <c r="A95" s="8"/>
      <c r="B95" s="59"/>
      <c r="C95" s="59"/>
      <c r="D95" s="59"/>
      <c r="E95" s="59"/>
      <c r="F95"/>
      <c r="G95"/>
      <c r="H95"/>
      <c r="I95"/>
      <c r="J95"/>
      <c r="K95"/>
    </row>
    <row r="96" spans="1:11" ht="15">
      <c r="F96"/>
      <c r="G96"/>
      <c r="J96"/>
      <c r="K96"/>
    </row>
    <row r="97" spans="1:11">
      <c r="A97" s="10"/>
      <c r="B97" s="10"/>
      <c r="C97" s="10"/>
      <c r="D97" s="16"/>
      <c r="E97" s="10"/>
      <c r="F97" s="3"/>
      <c r="G97" s="10"/>
      <c r="H97" s="17"/>
      <c r="I97" s="18"/>
      <c r="J97" s="10"/>
      <c r="K97" s="10"/>
    </row>
    <row r="98" spans="1:11">
      <c r="A98" s="10"/>
      <c r="B98" s="26"/>
      <c r="C98" s="26"/>
      <c r="D98" s="26"/>
      <c r="E98" s="26"/>
      <c r="F98" s="26"/>
      <c r="G98" s="10"/>
      <c r="H98" s="26"/>
      <c r="I98" s="26"/>
      <c r="J98" s="10"/>
      <c r="K98" s="10"/>
    </row>
    <row r="99" spans="1:11">
      <c r="A99" s="10"/>
      <c r="B99" s="26"/>
      <c r="C99" s="26"/>
      <c r="D99" s="26"/>
      <c r="E99" s="26"/>
      <c r="F99" s="26"/>
      <c r="G99" s="10"/>
      <c r="H99" s="26"/>
      <c r="I99" s="26"/>
      <c r="J99" s="10"/>
      <c r="K99" s="10"/>
    </row>
    <row r="100" spans="1:11">
      <c r="A100" s="10"/>
      <c r="B100" s="26"/>
      <c r="C100" s="26"/>
      <c r="D100" s="26"/>
      <c r="E100" s="26"/>
      <c r="F100" s="26"/>
      <c r="G100" s="10"/>
      <c r="H100" s="26"/>
      <c r="I100" s="26"/>
      <c r="J100" s="10"/>
      <c r="K100" s="10"/>
    </row>
    <row r="101" spans="1:11">
      <c r="A101" s="10"/>
      <c r="B101" s="26"/>
      <c r="C101" s="26"/>
      <c r="D101" s="26"/>
      <c r="E101" s="26"/>
      <c r="F101" s="26"/>
      <c r="G101" s="10"/>
      <c r="H101" s="26"/>
      <c r="I101" s="26"/>
      <c r="J101" s="10"/>
      <c r="K101" s="10"/>
    </row>
    <row r="102" spans="1:11">
      <c r="A102" s="10"/>
      <c r="B102" s="26"/>
      <c r="C102" s="26"/>
      <c r="D102" s="26"/>
      <c r="E102" s="26"/>
      <c r="F102" s="26"/>
      <c r="G102" s="10"/>
      <c r="H102" s="26"/>
      <c r="I102" s="26"/>
      <c r="J102" s="10"/>
      <c r="K102" s="10"/>
    </row>
    <row r="103" spans="1:11">
      <c r="A103" s="10"/>
      <c r="B103" s="26"/>
      <c r="C103" s="26"/>
      <c r="D103" s="26"/>
      <c r="E103" s="26"/>
      <c r="F103" s="26"/>
      <c r="G103" s="10"/>
      <c r="H103" s="26"/>
      <c r="I103" s="26"/>
      <c r="J103" s="10"/>
      <c r="K103" s="10"/>
    </row>
    <row r="104" spans="1:11">
      <c r="A104" s="10"/>
      <c r="B104" s="26"/>
      <c r="C104" s="26"/>
      <c r="D104" s="26"/>
      <c r="E104" s="26"/>
      <c r="F104" s="26"/>
      <c r="G104" s="10"/>
      <c r="H104" s="26"/>
      <c r="I104" s="26"/>
      <c r="J104" s="10"/>
      <c r="K104" s="10"/>
    </row>
    <row r="105" spans="1:11">
      <c r="A105" s="10"/>
      <c r="B105" s="26"/>
      <c r="C105" s="26"/>
      <c r="D105" s="26"/>
      <c r="E105" s="26"/>
      <c r="F105" s="26"/>
      <c r="G105" s="10"/>
      <c r="H105" s="26"/>
      <c r="I105" s="26"/>
      <c r="J105" s="10"/>
      <c r="K105" s="10"/>
    </row>
    <row r="106" spans="1:11">
      <c r="A106" s="10"/>
      <c r="B106" s="26"/>
      <c r="C106" s="26"/>
      <c r="D106" s="26"/>
      <c r="E106" s="26"/>
      <c r="F106" s="26"/>
      <c r="G106" s="10"/>
      <c r="H106" s="26"/>
      <c r="I106" s="26"/>
      <c r="J106" s="10"/>
      <c r="K106" s="10"/>
    </row>
    <row r="107" spans="1:11">
      <c r="A107" s="10"/>
      <c r="B107" s="26"/>
      <c r="C107" s="26"/>
      <c r="D107" s="26"/>
      <c r="E107" s="26"/>
      <c r="F107" s="26"/>
      <c r="G107" s="10"/>
      <c r="H107" s="26"/>
      <c r="I107" s="26"/>
      <c r="J107" s="10"/>
      <c r="K107" s="10"/>
    </row>
    <row r="108" spans="1:11">
      <c r="A108" s="10"/>
      <c r="B108" s="26"/>
      <c r="C108" s="26"/>
      <c r="D108" s="26"/>
      <c r="E108" s="26"/>
      <c r="F108" s="26"/>
      <c r="G108" s="10"/>
      <c r="H108" s="26"/>
      <c r="I108" s="26"/>
      <c r="J108" s="10"/>
      <c r="K108" s="10"/>
    </row>
    <row r="109" spans="1:11">
      <c r="A109" s="10"/>
      <c r="B109" s="26"/>
      <c r="C109" s="26"/>
      <c r="D109" s="26"/>
      <c r="E109" s="26"/>
      <c r="F109" s="26"/>
      <c r="G109" s="10"/>
      <c r="H109" s="26"/>
      <c r="I109" s="26"/>
      <c r="J109" s="10"/>
      <c r="K109" s="10"/>
    </row>
    <row r="110" spans="1:11">
      <c r="A110" s="10"/>
      <c r="B110" s="26"/>
      <c r="C110" s="26"/>
      <c r="D110" s="26"/>
      <c r="E110" s="26"/>
      <c r="F110" s="26"/>
      <c r="G110" s="10"/>
      <c r="H110" s="26"/>
      <c r="I110" s="26"/>
      <c r="J110" s="10"/>
      <c r="K110" s="10"/>
    </row>
    <row r="111" spans="1:11">
      <c r="A111" s="10"/>
      <c r="B111" s="26"/>
      <c r="C111" s="26"/>
      <c r="D111" s="26"/>
      <c r="E111" s="26"/>
      <c r="F111" s="26"/>
      <c r="G111" s="10"/>
      <c r="H111" s="26"/>
      <c r="I111" s="26"/>
      <c r="J111" s="10"/>
      <c r="K111" s="10"/>
    </row>
    <row r="112" spans="1:11">
      <c r="A112" s="10"/>
      <c r="B112" s="26"/>
      <c r="C112" s="26"/>
      <c r="D112" s="26"/>
      <c r="E112" s="26"/>
      <c r="F112" s="26"/>
      <c r="G112" s="10"/>
      <c r="H112" s="26"/>
      <c r="I112" s="26"/>
      <c r="J112" s="10"/>
      <c r="K112" s="10"/>
    </row>
    <row r="113" spans="1:11">
      <c r="A113" s="10"/>
      <c r="B113" s="26"/>
      <c r="C113" s="26"/>
      <c r="D113" s="26"/>
      <c r="E113" s="26"/>
      <c r="F113" s="26"/>
      <c r="G113" s="10"/>
      <c r="H113" s="26"/>
      <c r="I113" s="26"/>
      <c r="J113" s="10"/>
      <c r="K113" s="10"/>
    </row>
  </sheetData>
  <customSheetViews>
    <customSheetView guid="{9BB43D49-5D78-4E4A-AB52-EDF70C494511}" showPageBreaks="1" showGridLines="0" printArea="1" hiddenRows="1" hiddenColumns="1" state="hidden" topLeftCell="A13">
      <selection activeCell="A3" sqref="A3"/>
      <pageMargins left="0.7" right="0.7" top="0.75" bottom="0.75" header="0.3" footer="0.3"/>
      <pageSetup scale="45" fitToHeight="2" orientation="portrait" horizontalDpi="300" verticalDpi="300" r:id="rId1"/>
      <headerFooter alignWithMargins="0">
        <oddHeader>&amp;CAttachment B
NOx BACT Analysis
Based on EPA Algorithms for Traditional SCR</oddHeader>
      </headerFooter>
    </customSheetView>
  </customSheetViews>
  <conditionalFormatting sqref="B44:B55 B15:B42 B57:B70 B72:B95">
    <cfRule type="expression" dxfId="79" priority="4">
      <formula>$J15="N/A"</formula>
    </cfRule>
    <cfRule type="expression" dxfId="78" priority="5">
      <formula>$J15="Req'd"</formula>
    </cfRule>
  </conditionalFormatting>
  <conditionalFormatting sqref="C18:C20 C24:C25 C30:C32 C36:C37">
    <cfRule type="expression" dxfId="77" priority="3">
      <formula>B18&lt;&gt;""</formula>
    </cfRule>
  </conditionalFormatting>
  <conditionalFormatting sqref="B71">
    <cfRule type="expression" dxfId="76" priority="1">
      <formula>$J71="N/A"</formula>
    </cfRule>
    <cfRule type="expression" dxfId="75" priority="2">
      <formula>$J71="Req'd"</formula>
    </cfRule>
  </conditionalFormatting>
  <pageMargins left="0.7" right="0.7" top="0.75" bottom="0.75" header="0.3" footer="0.3"/>
  <pageSetup scale="45" fitToHeight="2" orientation="portrait" horizontalDpi="300" verticalDpi="300" r:id="rId2"/>
  <headerFooter alignWithMargins="0">
    <oddHeader>&amp;CAttachment B
NOx BACT Analysis
Based on EPA Algorithms for Traditional SCR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3"/>
  <sheetViews>
    <sheetView showGridLines="0" zoomScaleNormal="100" workbookViewId="0">
      <selection activeCell="A3" sqref="A3"/>
    </sheetView>
  </sheetViews>
  <sheetFormatPr defaultColWidth="9.140625" defaultRowHeight="12.75"/>
  <cols>
    <col min="1" max="1" width="42" style="3" customWidth="1"/>
    <col min="2" max="2" width="12.7109375" style="4" customWidth="1"/>
    <col min="3" max="6" width="12.42578125" style="4" customWidth="1"/>
    <col min="7" max="7" width="12.42578125" style="3" hidden="1" customWidth="1"/>
    <col min="8" max="9" width="12.42578125" style="4" hidden="1" customWidth="1"/>
    <col min="10" max="10" width="12.42578125" style="3" hidden="1" customWidth="1"/>
    <col min="11" max="11" width="25.5703125" style="3" hidden="1" customWidth="1"/>
    <col min="12" max="16384" width="9.140625" style="3"/>
  </cols>
  <sheetData>
    <row r="1" spans="1:11">
      <c r="G1" s="151"/>
      <c r="H1" s="57"/>
      <c r="I1" s="57"/>
      <c r="J1" s="151"/>
      <c r="K1" s="151"/>
    </row>
    <row r="2" spans="1:11" ht="18.75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75">
      <c r="A3" s="2" t="s">
        <v>111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A4" s="2" t="s">
        <v>117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8.75">
      <c r="A5" s="2" t="s">
        <v>115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customFormat="1" ht="15"/>
    <row r="7" spans="1:11" customFormat="1" ht="16.5" thickBot="1">
      <c r="A7" s="6" t="s">
        <v>91</v>
      </c>
      <c r="B7" s="7"/>
      <c r="C7" s="7"/>
      <c r="D7" s="7"/>
      <c r="E7" s="7"/>
    </row>
    <row r="8" spans="1:11" customFormat="1" ht="16.5" thickTop="1">
      <c r="A8" s="102"/>
      <c r="B8" s="59"/>
      <c r="C8" s="59"/>
      <c r="D8" s="59"/>
      <c r="E8" s="59"/>
    </row>
    <row r="9" spans="1:11" customFormat="1" ht="15">
      <c r="A9" s="3" t="s">
        <v>105</v>
      </c>
    </row>
    <row r="10" spans="1:11" customFormat="1" ht="15">
      <c r="A10" s="3" t="s">
        <v>114</v>
      </c>
    </row>
    <row r="11" spans="1:11" customFormat="1" ht="15">
      <c r="A11" s="3" t="s">
        <v>85</v>
      </c>
    </row>
    <row r="12" spans="1:11" customFormat="1" ht="15">
      <c r="A12" s="3"/>
      <c r="D12" s="104"/>
      <c r="E12" s="104"/>
      <c r="F12" s="4"/>
      <c r="K12" s="103"/>
    </row>
    <row r="13" spans="1:11" customFormat="1" ht="30">
      <c r="A13" s="119" t="s">
        <v>95</v>
      </c>
      <c r="B13" s="118" t="s">
        <v>94</v>
      </c>
      <c r="C13" s="135" t="s">
        <v>98</v>
      </c>
      <c r="D13" s="136" t="s">
        <v>99</v>
      </c>
      <c r="E13" s="137"/>
      <c r="F13" s="4"/>
      <c r="G13" s="63" t="s">
        <v>25</v>
      </c>
      <c r="H13" s="64" t="s">
        <v>31</v>
      </c>
      <c r="I13" s="64" t="s">
        <v>34</v>
      </c>
      <c r="J13" s="64" t="s">
        <v>59</v>
      </c>
      <c r="K13" s="65" t="s">
        <v>32</v>
      </c>
    </row>
    <row r="14" spans="1:11" customFormat="1" ht="15">
      <c r="K14" s="221"/>
    </row>
    <row r="15" spans="1:11" ht="15">
      <c r="A15" s="117" t="s">
        <v>108</v>
      </c>
      <c r="B15" s="192"/>
      <c r="C15" s="120"/>
      <c r="D15" s="38" t="s">
        <v>7</v>
      </c>
      <c r="E15" s="33"/>
      <c r="F15" s="3"/>
      <c r="G15" s="148"/>
      <c r="H15" s="85">
        <f>B15</f>
        <v>0</v>
      </c>
      <c r="I15" s="85" t="s">
        <v>61</v>
      </c>
      <c r="J15" s="169" t="str">
        <f>IF(B15="","Req'd")</f>
        <v>Req'd</v>
      </c>
      <c r="K15" s="222"/>
    </row>
    <row r="16" spans="1:11" customFormat="1" ht="15">
      <c r="K16" s="221"/>
    </row>
    <row r="17" spans="1:11" customFormat="1" ht="15">
      <c r="A17" s="121" t="s">
        <v>92</v>
      </c>
      <c r="B17" s="122"/>
      <c r="C17" s="122"/>
      <c r="D17" s="123"/>
      <c r="E17" s="124"/>
      <c r="F17" s="4"/>
      <c r="K17" s="221"/>
    </row>
    <row r="18" spans="1:11" customFormat="1" ht="30">
      <c r="A18" s="125" t="s">
        <v>47</v>
      </c>
      <c r="B18" s="193"/>
      <c r="C18" s="126">
        <f>0.05*$B$15</f>
        <v>0</v>
      </c>
      <c r="D18" s="39" t="s">
        <v>44</v>
      </c>
      <c r="E18" s="34"/>
      <c r="F18" s="4"/>
      <c r="G18" s="148"/>
      <c r="H18" s="86">
        <f>IF(ISNUMBER(B18),B18,C18)</f>
        <v>0</v>
      </c>
      <c r="I18" s="85" t="s">
        <v>61</v>
      </c>
      <c r="J18" s="143" t="b">
        <v>0</v>
      </c>
      <c r="K18" s="222"/>
    </row>
    <row r="19" spans="1:11" customFormat="1" ht="15">
      <c r="A19" s="127" t="s">
        <v>8</v>
      </c>
      <c r="B19" s="194"/>
      <c r="C19" s="128">
        <f>0.1*$B$15</f>
        <v>0</v>
      </c>
      <c r="D19" s="40" t="s">
        <v>45</v>
      </c>
      <c r="E19" s="35"/>
      <c r="F19" s="4"/>
      <c r="G19" s="148"/>
      <c r="H19" s="86">
        <f>IF(ISNUMBER(B19),B19,C19)</f>
        <v>0</v>
      </c>
      <c r="I19" s="85" t="s">
        <v>61</v>
      </c>
      <c r="J19" s="143" t="b">
        <v>0</v>
      </c>
      <c r="K19" s="222"/>
    </row>
    <row r="20" spans="1:11" customFormat="1" ht="15">
      <c r="A20" s="130" t="s">
        <v>9</v>
      </c>
      <c r="B20" s="195"/>
      <c r="C20" s="131">
        <f>0.05*$B$15</f>
        <v>0</v>
      </c>
      <c r="D20" s="41" t="s">
        <v>44</v>
      </c>
      <c r="E20" s="36"/>
      <c r="F20" s="4"/>
      <c r="G20" s="148"/>
      <c r="H20" s="86">
        <f>IF(ISNUMBER(B20),B20,C20)</f>
        <v>0</v>
      </c>
      <c r="I20" s="85" t="s">
        <v>61</v>
      </c>
      <c r="J20" s="143" t="b">
        <v>0</v>
      </c>
      <c r="K20" s="222"/>
    </row>
    <row r="21" spans="1:11" customFormat="1" ht="15">
      <c r="A21" s="115" t="s">
        <v>10</v>
      </c>
      <c r="B21" s="116">
        <f>H21</f>
        <v>0</v>
      </c>
      <c r="C21" s="129"/>
      <c r="D21" s="42" t="s">
        <v>11</v>
      </c>
      <c r="E21" s="37"/>
      <c r="F21" s="4"/>
      <c r="G21" s="148"/>
      <c r="H21" s="85">
        <f>SUM(H18:H20)</f>
        <v>0</v>
      </c>
      <c r="I21" s="85" t="s">
        <v>61</v>
      </c>
      <c r="J21" s="143"/>
      <c r="K21" s="222"/>
    </row>
    <row r="22" spans="1:11" customFormat="1" ht="15">
      <c r="K22" s="221"/>
    </row>
    <row r="23" spans="1:11" customFormat="1" ht="15">
      <c r="A23" s="121" t="s">
        <v>96</v>
      </c>
      <c r="B23" s="122"/>
      <c r="C23" s="122"/>
      <c r="D23" s="123"/>
      <c r="E23" s="124"/>
      <c r="F23" s="4"/>
      <c r="K23" s="221"/>
    </row>
    <row r="24" spans="1:11" s="5" customFormat="1" ht="15">
      <c r="A24" s="132" t="s">
        <v>12</v>
      </c>
      <c r="B24" s="196"/>
      <c r="C24" s="91">
        <f>0.15*(B15+B21)</f>
        <v>0</v>
      </c>
      <c r="D24" s="80" t="s">
        <v>46</v>
      </c>
      <c r="E24" s="43"/>
      <c r="G24" s="145"/>
      <c r="H24" s="86">
        <f>IF(ISNUMBER(B24),B24,C24)</f>
        <v>0</v>
      </c>
      <c r="I24" s="85" t="s">
        <v>61</v>
      </c>
      <c r="J24" s="143"/>
      <c r="K24" s="223"/>
    </row>
    <row r="25" spans="1:11" s="5" customFormat="1" ht="15">
      <c r="A25" s="170" t="s">
        <v>13</v>
      </c>
      <c r="B25" s="197"/>
      <c r="C25" s="92">
        <f>0.02*SUM(B15,B21,H24)</f>
        <v>0</v>
      </c>
      <c r="D25" s="108" t="s">
        <v>80</v>
      </c>
      <c r="E25" s="45"/>
      <c r="G25" s="145"/>
      <c r="H25" s="86">
        <f>IF(ISNUMBER(B25),B25,C25)</f>
        <v>0</v>
      </c>
      <c r="I25" s="85" t="s">
        <v>61</v>
      </c>
      <c r="J25" s="143"/>
      <c r="K25" s="223"/>
    </row>
    <row r="26" spans="1:11" s="5" customFormat="1" ht="15">
      <c r="A26" s="31" t="s">
        <v>14</v>
      </c>
      <c r="B26" s="94">
        <f>H26</f>
        <v>0</v>
      </c>
      <c r="C26" s="88"/>
      <c r="D26" s="83" t="s">
        <v>113</v>
      </c>
      <c r="E26" s="46"/>
      <c r="G26" s="145"/>
      <c r="H26" s="85">
        <f>SUM(H15,H21,H24,H25)</f>
        <v>0</v>
      </c>
      <c r="I26" s="85" t="s">
        <v>61</v>
      </c>
      <c r="J26" s="143"/>
      <c r="K26" s="223"/>
    </row>
    <row r="27" spans="1:11" ht="15">
      <c r="A27" s="30" t="s">
        <v>19</v>
      </c>
      <c r="B27" s="140">
        <f>B38*B26</f>
        <v>0</v>
      </c>
      <c r="C27" s="139"/>
      <c r="D27" s="79" t="s">
        <v>20</v>
      </c>
      <c r="E27" s="48"/>
      <c r="F27" s="3"/>
      <c r="G27" s="145"/>
      <c r="H27" s="85">
        <f>IF(ISNUMBER(B27),B27,C27)</f>
        <v>0</v>
      </c>
      <c r="I27" s="85"/>
      <c r="J27" s="143"/>
      <c r="K27" s="224" t="s">
        <v>145</v>
      </c>
    </row>
    <row r="28" spans="1:11" ht="15">
      <c r="G28"/>
      <c r="H28"/>
      <c r="I28"/>
      <c r="J28"/>
      <c r="K28" s="221"/>
    </row>
    <row r="29" spans="1:11" customFormat="1" ht="15">
      <c r="A29" s="105" t="s">
        <v>97</v>
      </c>
      <c r="B29" s="106"/>
      <c r="C29" s="106"/>
      <c r="D29" s="106"/>
      <c r="E29" s="107"/>
      <c r="F29" s="4"/>
      <c r="K29" s="221"/>
    </row>
    <row r="30" spans="1:11" s="5" customFormat="1" ht="15">
      <c r="A30" s="173" t="s">
        <v>40</v>
      </c>
      <c r="B30" s="196"/>
      <c r="C30" s="91">
        <v>0</v>
      </c>
      <c r="D30" s="109"/>
      <c r="E30" s="110"/>
      <c r="G30" s="145"/>
      <c r="H30" s="86">
        <f>IF(ISNUMBER(B30),B30,C30)</f>
        <v>0</v>
      </c>
      <c r="I30" s="86"/>
      <c r="J30" s="143"/>
      <c r="K30" s="223"/>
    </row>
    <row r="31" spans="1:11" s="5" customFormat="1" ht="15">
      <c r="A31" s="133" t="s">
        <v>15</v>
      </c>
      <c r="B31" s="198"/>
      <c r="C31" s="93">
        <f>B26*0.015</f>
        <v>0</v>
      </c>
      <c r="D31" s="111" t="s">
        <v>79</v>
      </c>
      <c r="E31" s="112"/>
      <c r="G31" s="145"/>
      <c r="H31" s="86">
        <f>IF(ISNUMBER(B31),B31,C31)</f>
        <v>0</v>
      </c>
      <c r="I31" s="86"/>
      <c r="J31" s="143"/>
      <c r="K31" s="223"/>
    </row>
    <row r="32" spans="1:11" ht="15">
      <c r="A32" s="174" t="s">
        <v>49</v>
      </c>
      <c r="B32" s="199"/>
      <c r="C32" s="90">
        <f>B93*H94*H89</f>
        <v>0</v>
      </c>
      <c r="D32" s="171"/>
      <c r="E32" s="172"/>
      <c r="F32" s="3"/>
      <c r="G32" s="147"/>
      <c r="H32" s="86">
        <f>IF(ISNUMBER(B32),B32,C32)</f>
        <v>0</v>
      </c>
      <c r="I32" s="86"/>
      <c r="J32" s="143"/>
      <c r="K32" s="225" t="s">
        <v>147</v>
      </c>
    </row>
    <row r="33" spans="1:11" ht="15">
      <c r="A33" s="31" t="s">
        <v>17</v>
      </c>
      <c r="B33" s="94">
        <f>H33</f>
        <v>0</v>
      </c>
      <c r="C33" s="158"/>
      <c r="D33" s="83" t="s">
        <v>29</v>
      </c>
      <c r="E33" s="42"/>
      <c r="F33" s="3"/>
      <c r="G33" s="145"/>
      <c r="H33" s="85">
        <f>SUM(H30:H32)</f>
        <v>0</v>
      </c>
      <c r="I33" s="85"/>
      <c r="J33" s="143"/>
      <c r="K33" s="223"/>
    </row>
    <row r="34" spans="1:11" customFormat="1" ht="15">
      <c r="F34" s="4"/>
      <c r="K34" s="221"/>
    </row>
    <row r="35" spans="1:11" ht="15">
      <c r="A35" s="121" t="s">
        <v>62</v>
      </c>
      <c r="B35" s="123"/>
      <c r="C35" s="123"/>
      <c r="D35" s="123"/>
      <c r="E35" s="124"/>
      <c r="F35"/>
      <c r="G35"/>
      <c r="H35"/>
      <c r="I35"/>
      <c r="J35"/>
      <c r="K35" s="221"/>
    </row>
    <row r="36" spans="1:11" ht="15">
      <c r="A36" s="56" t="s">
        <v>26</v>
      </c>
      <c r="B36" s="181"/>
      <c r="C36" s="52">
        <v>7</v>
      </c>
      <c r="D36" s="109" t="s">
        <v>27</v>
      </c>
      <c r="E36" s="110"/>
      <c r="F36"/>
      <c r="G36" s="146"/>
      <c r="H36" s="78">
        <f>IF(ISNUMBER(B36),B36,C36)</f>
        <v>7</v>
      </c>
      <c r="I36" s="67" t="s">
        <v>37</v>
      </c>
      <c r="J36" s="149" t="b">
        <v>0</v>
      </c>
      <c r="K36" s="222"/>
    </row>
    <row r="37" spans="1:11" ht="15">
      <c r="A37" s="54" t="s">
        <v>4</v>
      </c>
      <c r="B37" s="182"/>
      <c r="C37" s="138">
        <v>7.0000000000000007E-2</v>
      </c>
      <c r="D37" s="111" t="s">
        <v>28</v>
      </c>
      <c r="E37" s="112"/>
      <c r="F37"/>
      <c r="G37" s="146"/>
      <c r="H37" s="78">
        <f>IF(ISNUMBER(B37),B37,C37)</f>
        <v>7.0000000000000007E-2</v>
      </c>
      <c r="I37" s="67" t="s">
        <v>23</v>
      </c>
      <c r="J37" s="149" t="b">
        <v>0</v>
      </c>
      <c r="K37" s="222"/>
    </row>
    <row r="38" spans="1:11" ht="15" customHeight="1">
      <c r="A38" s="55" t="s">
        <v>18</v>
      </c>
      <c r="B38" s="141">
        <f>H37/(1-(1+H37)^-H36)</f>
        <v>0.18555321963115931</v>
      </c>
      <c r="C38" s="142"/>
      <c r="D38" s="113" t="s">
        <v>100</v>
      </c>
      <c r="E38" s="114"/>
      <c r="G38" s="146"/>
      <c r="H38" s="67"/>
      <c r="I38" s="67"/>
      <c r="J38" s="144"/>
      <c r="K38" s="226"/>
    </row>
    <row r="39" spans="1:11" customFormat="1" ht="15">
      <c r="K39" s="221"/>
    </row>
    <row r="40" spans="1:11" s="5" customFormat="1" ht="15">
      <c r="A40" s="30" t="s">
        <v>109</v>
      </c>
      <c r="B40" s="140">
        <f>SUM(B33,B27)</f>
        <v>0</v>
      </c>
      <c r="C40" s="139"/>
      <c r="D40" s="150" t="s">
        <v>22</v>
      </c>
      <c r="E40" s="49"/>
      <c r="G40" s="145"/>
      <c r="H40" s="87">
        <f>IF(ISNUMBER(#REF!),#REF!,H27+H33)</f>
        <v>0</v>
      </c>
      <c r="I40" s="87" t="s">
        <v>82</v>
      </c>
      <c r="J40" s="143"/>
      <c r="K40" s="224" t="s">
        <v>148</v>
      </c>
    </row>
    <row r="41" spans="1:11" s="5" customFormat="1" ht="15">
      <c r="A41" s="19"/>
      <c r="B41" s="13"/>
      <c r="C41" s="23"/>
      <c r="D41" s="22"/>
      <c r="E41" s="13"/>
      <c r="F41" s="15"/>
      <c r="G41" s="10"/>
      <c r="H41" s="22"/>
      <c r="I41" s="22"/>
      <c r="J41" s="10"/>
      <c r="K41" s="10"/>
    </row>
    <row r="42" spans="1:11" s="5" customFormat="1" ht="15">
      <c r="A42" s="19"/>
      <c r="B42" s="13"/>
      <c r="C42" s="23"/>
      <c r="D42" s="22"/>
      <c r="E42" s="13"/>
      <c r="F42" s="15"/>
      <c r="G42" s="10"/>
      <c r="H42" s="22"/>
      <c r="I42" s="22"/>
      <c r="J42" s="10"/>
      <c r="K42" s="10"/>
    </row>
    <row r="43" spans="1:11" customFormat="1" ht="16.5" thickBot="1">
      <c r="A43" s="6" t="s">
        <v>106</v>
      </c>
      <c r="B43" s="7"/>
      <c r="C43" s="7"/>
      <c r="D43" s="7"/>
      <c r="E43" s="7"/>
    </row>
    <row r="44" spans="1:11" s="8" customFormat="1" ht="15.75" thickTop="1">
      <c r="A44" s="29"/>
      <c r="B44" s="11"/>
      <c r="C44" s="25"/>
      <c r="D44" s="25"/>
      <c r="E44" s="25"/>
      <c r="F44"/>
      <c r="G44"/>
      <c r="H44"/>
      <c r="I44"/>
      <c r="J44"/>
      <c r="K44"/>
    </row>
    <row r="45" spans="1:11" s="5" customFormat="1" ht="15">
      <c r="A45" s="51" t="s">
        <v>101</v>
      </c>
      <c r="B45" s="154">
        <f>$H$63*$H$68*$H$89/2000+IF(H64&gt;0,$H$64*$H$73*$H$89/2000)</f>
        <v>0</v>
      </c>
      <c r="C45" s="15"/>
      <c r="E45"/>
      <c r="F45"/>
      <c r="G45" s="10"/>
      <c r="H45"/>
      <c r="I45"/>
      <c r="J45" s="10"/>
      <c r="K45" s="10"/>
    </row>
    <row r="46" spans="1:11" s="5" customFormat="1" ht="15">
      <c r="A46" s="32" t="s">
        <v>102</v>
      </c>
      <c r="B46" s="155">
        <f>SUM($H$63:$H$64)*H78*$H$89/2000</f>
        <v>0</v>
      </c>
      <c r="C46" s="15"/>
      <c r="E46" s="14"/>
      <c r="F46" s="15"/>
      <c r="G46" s="10"/>
      <c r="H46" s="20"/>
      <c r="I46" s="20"/>
      <c r="J46" s="10"/>
      <c r="K46" s="10"/>
    </row>
    <row r="47" spans="1:11" s="5" customFormat="1" ht="15">
      <c r="A47" s="152" t="s">
        <v>103</v>
      </c>
      <c r="B47" s="153">
        <f>B45-B46</f>
        <v>0</v>
      </c>
      <c r="C47" s="15"/>
      <c r="E47"/>
      <c r="F47"/>
      <c r="G47" s="10"/>
      <c r="H47"/>
      <c r="I47"/>
      <c r="J47" s="10"/>
      <c r="K47" s="10"/>
    </row>
    <row r="48" spans="1:11" s="5" customFormat="1" ht="15">
      <c r="A48" s="24"/>
      <c r="B48" s="27"/>
      <c r="C48" s="15"/>
      <c r="E48"/>
      <c r="F48"/>
      <c r="G48" s="10"/>
      <c r="H48"/>
      <c r="I48"/>
      <c r="J48" s="10"/>
      <c r="K48" s="10"/>
    </row>
    <row r="49" spans="1:11" s="5" customFormat="1" ht="15">
      <c r="A49" s="53" t="s">
        <v>21</v>
      </c>
      <c r="B49" s="156">
        <f>B40</f>
        <v>0</v>
      </c>
      <c r="C49" s="15"/>
      <c r="E49"/>
      <c r="F49"/>
      <c r="G49" s="10"/>
      <c r="H49"/>
      <c r="I49"/>
      <c r="J49" s="10"/>
      <c r="K49" s="10"/>
    </row>
    <row r="50" spans="1:11" s="5" customFormat="1" ht="15">
      <c r="A50" s="54" t="s">
        <v>104</v>
      </c>
      <c r="B50" s="157" t="str">
        <f>IF(B47=0,"",B49/B47)</f>
        <v/>
      </c>
      <c r="C50"/>
      <c r="F50" s="9"/>
      <c r="G50" s="10"/>
      <c r="H50" s="28"/>
      <c r="I50" s="28"/>
      <c r="J50" s="10"/>
      <c r="K50" s="10"/>
    </row>
    <row r="51" spans="1:11" s="5" customFormat="1" ht="15">
      <c r="A51" s="229" t="s">
        <v>151</v>
      </c>
      <c r="B51" s="230"/>
      <c r="C51" s="13"/>
      <c r="E51" s="13"/>
      <c r="F51" s="15"/>
      <c r="G51" s="10"/>
      <c r="H51" s="22"/>
      <c r="I51" s="22"/>
      <c r="J51" s="10"/>
      <c r="K51" s="10"/>
    </row>
    <row r="52" spans="1:11" s="5" customFormat="1" ht="15.75" thickBot="1">
      <c r="A52" s="21"/>
      <c r="B52" s="159"/>
      <c r="C52" s="13"/>
      <c r="E52" s="13"/>
      <c r="F52" s="15"/>
      <c r="G52" s="10"/>
      <c r="H52" s="22"/>
      <c r="I52" s="22"/>
      <c r="J52" s="10"/>
      <c r="K52" s="10"/>
    </row>
    <row r="53" spans="1:11" s="5" customFormat="1" ht="15">
      <c r="A53" s="168" t="s">
        <v>110</v>
      </c>
      <c r="B53" s="160"/>
      <c r="C53" s="161"/>
      <c r="D53" s="162"/>
      <c r="E53" s="163"/>
      <c r="F53" s="15"/>
      <c r="G53" s="10"/>
      <c r="H53" s="22"/>
      <c r="I53" s="22"/>
      <c r="J53" s="10"/>
      <c r="K53" s="10"/>
    </row>
    <row r="54" spans="1:11" s="5" customFormat="1" ht="15.75" thickBot="1">
      <c r="A54" s="164" t="str">
        <f>IF(B50="","TBD",IF(B50&gt;B51,"Project costs exceed BACT cost effectiveness threshold and may not be considered cost effective.","Project may be considered cost effective."))</f>
        <v>TBD</v>
      </c>
      <c r="B54" s="165"/>
      <c r="C54" s="166"/>
      <c r="D54" s="166"/>
      <c r="E54" s="167"/>
      <c r="F54" s="15"/>
      <c r="G54" s="10"/>
      <c r="H54" s="22"/>
      <c r="I54" s="22"/>
      <c r="J54" s="10"/>
      <c r="K54" s="10"/>
    </row>
    <row r="55" spans="1:11" s="5" customFormat="1" ht="15">
      <c r="A55" s="19"/>
      <c r="B55" s="13"/>
      <c r="C55" s="22"/>
      <c r="D55" s="22"/>
      <c r="E55" s="13"/>
      <c r="F55" s="15"/>
      <c r="G55" s="10"/>
      <c r="H55" s="22"/>
      <c r="I55" s="22"/>
      <c r="J55" s="10"/>
      <c r="K55" s="10"/>
    </row>
    <row r="56" spans="1:11" customFormat="1" ht="16.5" thickBot="1">
      <c r="A56" s="6" t="s">
        <v>107</v>
      </c>
      <c r="B56" s="7"/>
      <c r="C56" s="7"/>
      <c r="D56" s="7"/>
      <c r="E56" s="7"/>
    </row>
    <row r="57" spans="1:11" ht="15.75" thickTop="1">
      <c r="F57"/>
      <c r="H57" s="3"/>
      <c r="I57" s="3"/>
      <c r="K57"/>
    </row>
    <row r="58" spans="1:11" ht="15">
      <c r="A58" s="3" t="s">
        <v>86</v>
      </c>
      <c r="F58"/>
      <c r="G58"/>
      <c r="H58"/>
      <c r="I58"/>
      <c r="J58"/>
      <c r="K58"/>
    </row>
    <row r="59" spans="1:11" ht="15">
      <c r="A59" s="3" t="s">
        <v>85</v>
      </c>
      <c r="F59"/>
      <c r="G59"/>
      <c r="H59"/>
      <c r="I59"/>
      <c r="J59"/>
      <c r="K59"/>
    </row>
    <row r="60" spans="1:11" ht="15">
      <c r="F60"/>
      <c r="G60"/>
      <c r="H60"/>
      <c r="I60"/>
      <c r="J60"/>
      <c r="K60"/>
    </row>
    <row r="61" spans="1:11" ht="15">
      <c r="A61" s="99" t="s">
        <v>88</v>
      </c>
      <c r="B61" s="98"/>
      <c r="C61" s="98"/>
      <c r="D61" s="98"/>
      <c r="E61" s="98"/>
      <c r="F61"/>
      <c r="G61" s="63" t="s">
        <v>25</v>
      </c>
      <c r="H61" s="64" t="s">
        <v>31</v>
      </c>
      <c r="I61" s="212" t="s">
        <v>34</v>
      </c>
      <c r="J61" s="64" t="s">
        <v>59</v>
      </c>
      <c r="K61" s="65" t="s">
        <v>32</v>
      </c>
    </row>
    <row r="62" spans="1:11" ht="6.75" customHeight="1">
      <c r="A62" s="101"/>
      <c r="B62" s="59"/>
      <c r="C62" s="59"/>
      <c r="D62" s="59"/>
      <c r="E62" s="59"/>
      <c r="F62"/>
      <c r="G62" s="63"/>
      <c r="H62" s="64"/>
      <c r="I62" s="212"/>
      <c r="J62" s="64"/>
      <c r="K62" s="65"/>
    </row>
    <row r="63" spans="1:11" ht="15">
      <c r="A63" s="3" t="s">
        <v>112</v>
      </c>
      <c r="B63" s="186"/>
      <c r="C63" s="60" t="s">
        <v>0</v>
      </c>
      <c r="F63"/>
      <c r="G63" s="75"/>
      <c r="H63" s="67">
        <f>B63</f>
        <v>0</v>
      </c>
      <c r="I63" s="205" t="s">
        <v>0</v>
      </c>
      <c r="J63" s="206" t="str">
        <f>IF(B63="","Req'd")</f>
        <v>Req'd</v>
      </c>
      <c r="K63" s="69"/>
    </row>
    <row r="64" spans="1:11" ht="15" hidden="1">
      <c r="A64" s="3" t="s">
        <v>64</v>
      </c>
      <c r="B64" s="61">
        <v>0</v>
      </c>
      <c r="C64" s="60" t="s">
        <v>0</v>
      </c>
      <c r="F64"/>
      <c r="G64" s="75"/>
      <c r="H64" s="67">
        <f>B64</f>
        <v>0</v>
      </c>
      <c r="I64" s="68" t="s">
        <v>0</v>
      </c>
      <c r="J64" s="214" t="b">
        <v>0</v>
      </c>
      <c r="K64" s="214"/>
    </row>
    <row r="65" spans="1:11" s="8" customFormat="1" ht="15">
      <c r="B65" s="59"/>
      <c r="C65" s="59"/>
      <c r="D65" s="59"/>
      <c r="E65" s="59"/>
      <c r="F65" s="100"/>
      <c r="G65" s="100"/>
      <c r="H65" s="100"/>
      <c r="I65" s="100"/>
      <c r="J65" s="100"/>
      <c r="K65" s="100"/>
    </row>
    <row r="66" spans="1:11" ht="15">
      <c r="A66" s="99" t="s">
        <v>87</v>
      </c>
      <c r="B66" s="98"/>
      <c r="C66" s="98"/>
      <c r="D66" s="98"/>
      <c r="E66" s="98"/>
      <c r="F66"/>
      <c r="G66"/>
      <c r="H66"/>
      <c r="I66"/>
      <c r="J66"/>
      <c r="K66"/>
    </row>
    <row r="67" spans="1:11" ht="6.75" customHeight="1">
      <c r="A67" s="101"/>
      <c r="B67" s="59"/>
      <c r="C67" s="59"/>
      <c r="D67" s="59"/>
      <c r="E67" s="59"/>
      <c r="F67"/>
      <c r="G67"/>
      <c r="H67"/>
      <c r="I67"/>
      <c r="J67"/>
      <c r="K67"/>
    </row>
    <row r="68" spans="1:11" ht="15">
      <c r="A68" s="3" t="s">
        <v>118</v>
      </c>
      <c r="B68" s="186"/>
      <c r="C68" s="60" t="s">
        <v>51</v>
      </c>
      <c r="F68"/>
      <c r="G68" s="72">
        <f>B68</f>
        <v>0</v>
      </c>
      <c r="H68" s="71">
        <f>IF(ISNUMBER(B68),G68,IF(ISNUMBER(B69),G69,IF(ISNUMBER(B70),G70,G71)))</f>
        <v>0</v>
      </c>
      <c r="I68" s="204" t="s">
        <v>3</v>
      </c>
      <c r="J68" s="213" t="b">
        <f>IF(OR(B69&lt;&gt;"",B70&lt;&gt;""),"N/A")</f>
        <v>0</v>
      </c>
      <c r="K68" s="70"/>
    </row>
    <row r="69" spans="1:11" ht="15">
      <c r="A69" s="58" t="s">
        <v>50</v>
      </c>
      <c r="B69" s="186"/>
      <c r="C69" s="60" t="s">
        <v>52</v>
      </c>
      <c r="F69"/>
      <c r="G69" s="72">
        <f>B69/$H$84</f>
        <v>0</v>
      </c>
      <c r="H69" s="76"/>
      <c r="I69" s="211"/>
      <c r="J69" s="213" t="b">
        <f>IF(OR(B68&lt;&gt;"",B70&lt;&gt;""),"N/A")</f>
        <v>0</v>
      </c>
      <c r="K69" s="70"/>
    </row>
    <row r="70" spans="1:11" ht="15">
      <c r="A70" s="58" t="s">
        <v>50</v>
      </c>
      <c r="B70" s="186"/>
      <c r="C70" s="60" t="s">
        <v>54</v>
      </c>
      <c r="F70"/>
      <c r="G70" s="72">
        <f>B70*1.194*10^-7*H$85*(20.946/(20.946-3))</f>
        <v>0</v>
      </c>
      <c r="H70" s="76"/>
      <c r="I70" s="211"/>
      <c r="J70" s="213" t="b">
        <f>IF(OR(B68&lt;&gt;"",B69&lt;&gt;""),"N/A")</f>
        <v>0</v>
      </c>
      <c r="K70" s="70"/>
    </row>
    <row r="71" spans="1:11" ht="15">
      <c r="A71" s="58" t="s">
        <v>135</v>
      </c>
      <c r="B71" s="228"/>
      <c r="C71" s="60" t="s">
        <v>54</v>
      </c>
      <c r="F71"/>
      <c r="G71" s="72">
        <f>B71*1.194*10^-7*H$85*(20.946/(20.946-3))</f>
        <v>0</v>
      </c>
      <c r="H71" s="76"/>
      <c r="I71" s="211"/>
      <c r="J71" s="213" t="b">
        <f>IF(COUNTA(B68:B70)&gt;0,"N/A")</f>
        <v>0</v>
      </c>
      <c r="K71" s="70"/>
    </row>
    <row r="72" spans="1:11" ht="15">
      <c r="F72"/>
      <c r="G72"/>
      <c r="H72"/>
      <c r="I72"/>
      <c r="J72"/>
      <c r="K72"/>
    </row>
    <row r="73" spans="1:11" ht="15" hidden="1">
      <c r="A73" s="3" t="s">
        <v>66</v>
      </c>
      <c r="B73" s="61"/>
      <c r="C73" s="60" t="s">
        <v>51</v>
      </c>
      <c r="F73"/>
      <c r="G73" s="75"/>
      <c r="H73" s="71">
        <f>IF(ISNUMBER(B73),B73,IF(ISNUMBER(B74),B74/H$84,IF(ISNUMBER(B75),B75*1.194*10^-7*H$85*(20.946/(20.946-15)),G76)))</f>
        <v>3.6414736549648941E-2</v>
      </c>
      <c r="I73" s="67" t="s">
        <v>3</v>
      </c>
      <c r="J73" s="70" t="b">
        <f>IF(OR(B74&lt;&gt;"",B75&lt;&gt;""),"N/A")</f>
        <v>0</v>
      </c>
      <c r="K73" s="70"/>
    </row>
    <row r="74" spans="1:11" ht="15" hidden="1">
      <c r="A74" s="58" t="s">
        <v>50</v>
      </c>
      <c r="B74" s="61"/>
      <c r="C74" s="60" t="s">
        <v>52</v>
      </c>
      <c r="F74"/>
      <c r="G74" s="75"/>
      <c r="H74" s="76"/>
      <c r="I74" s="76"/>
      <c r="J74" s="70" t="b">
        <f>IF(OR(B73&lt;&gt;"",B75&lt;&gt;""),"N/A")</f>
        <v>0</v>
      </c>
      <c r="K74" s="70"/>
    </row>
    <row r="75" spans="1:11" ht="15" hidden="1">
      <c r="A75" s="58" t="s">
        <v>50</v>
      </c>
      <c r="B75" s="61"/>
      <c r="C75" s="60" t="s">
        <v>54</v>
      </c>
      <c r="F75"/>
      <c r="G75" s="75"/>
      <c r="H75" s="76"/>
      <c r="I75" s="76"/>
      <c r="J75" s="70" t="b">
        <f>IF(OR(B73&lt;&gt;"",B74&lt;&gt;""),"N/A")</f>
        <v>0</v>
      </c>
      <c r="K75" s="70"/>
    </row>
    <row r="76" spans="1:11" ht="15" hidden="1">
      <c r="A76" s="58" t="s">
        <v>50</v>
      </c>
      <c r="B76" s="62" t="s">
        <v>55</v>
      </c>
      <c r="C76" s="60"/>
      <c r="F76"/>
      <c r="G76" s="72">
        <f>30*1.194*10^-7*H$85*(20.946/(20.946-3))</f>
        <v>3.6414736549648941E-2</v>
      </c>
      <c r="H76" s="76"/>
      <c r="I76" s="76"/>
      <c r="J76" s="70" t="b">
        <v>0</v>
      </c>
      <c r="K76" s="70"/>
    </row>
    <row r="77" spans="1:11" ht="15" hidden="1">
      <c r="F77"/>
      <c r="G77"/>
      <c r="H77"/>
      <c r="I77"/>
      <c r="J77"/>
      <c r="K77"/>
    </row>
    <row r="78" spans="1:11" ht="15">
      <c r="A78" s="3" t="s">
        <v>67</v>
      </c>
      <c r="B78" s="186"/>
      <c r="C78" s="60" t="s">
        <v>51</v>
      </c>
      <c r="F78"/>
      <c r="G78" s="72">
        <f>B78</f>
        <v>0</v>
      </c>
      <c r="H78" s="71">
        <f>IF(ISNUMBER(B78),G78,IF(ISNUMBER(B79),G79,G80))</f>
        <v>0</v>
      </c>
      <c r="I78" s="204" t="s">
        <v>3</v>
      </c>
      <c r="J78" s="206" t="str">
        <f>IF(COUNTA(B78:B80)=0,"Req'd",IF(OR(B79&lt;&gt;"",B80&lt;&gt;""),"N/A"))</f>
        <v>Req'd</v>
      </c>
      <c r="K78" s="69"/>
    </row>
    <row r="79" spans="1:11" ht="15">
      <c r="A79" s="58" t="s">
        <v>50</v>
      </c>
      <c r="B79" s="186"/>
      <c r="C79" s="60" t="s">
        <v>52</v>
      </c>
      <c r="F79"/>
      <c r="G79" s="72">
        <f>B79/$H$84</f>
        <v>0</v>
      </c>
      <c r="H79" s="76"/>
      <c r="I79" s="211"/>
      <c r="J79" s="206" t="str">
        <f>IF(COUNTA(B78:B80)=0,"Req'd",IF(OR(B78&lt;&gt;"",B80&lt;&gt;""),"N/A"))</f>
        <v>Req'd</v>
      </c>
      <c r="K79" s="69"/>
    </row>
    <row r="80" spans="1:11" ht="15">
      <c r="A80" s="58" t="s">
        <v>50</v>
      </c>
      <c r="B80" s="186"/>
      <c r="C80" s="60" t="s">
        <v>54</v>
      </c>
      <c r="F80"/>
      <c r="G80" s="72">
        <f>B80*1.194*10^-7*H$85*(20.946/(20.946-3))</f>
        <v>0</v>
      </c>
      <c r="H80" s="76"/>
      <c r="I80" s="211"/>
      <c r="J80" s="206" t="str">
        <f>IF(COUNTA(B78:B80)=0,"Req'd",IF(OR(B78&lt;&gt;"",B79&lt;&gt;""),"N/A"))</f>
        <v>Req'd</v>
      </c>
      <c r="K80" s="69"/>
    </row>
    <row r="81" spans="1:11" ht="15">
      <c r="A81" s="8"/>
      <c r="B81" s="59"/>
      <c r="C81" s="59"/>
      <c r="D81" s="59"/>
      <c r="E81" s="59"/>
      <c r="F81"/>
      <c r="G81"/>
      <c r="H81"/>
      <c r="I81"/>
      <c r="J81"/>
      <c r="K81"/>
    </row>
    <row r="82" spans="1:11" ht="15">
      <c r="A82" s="99" t="s">
        <v>89</v>
      </c>
      <c r="B82" s="98"/>
      <c r="C82" s="98"/>
      <c r="D82" s="98"/>
      <c r="E82" s="98"/>
      <c r="F82"/>
      <c r="G82"/>
      <c r="H82"/>
      <c r="I82"/>
      <c r="J82"/>
      <c r="K82"/>
    </row>
    <row r="83" spans="1:11" ht="6.75" customHeight="1">
      <c r="A83" s="101"/>
      <c r="B83" s="59"/>
      <c r="C83" s="59"/>
      <c r="D83" s="59"/>
      <c r="E83" s="59"/>
      <c r="F83"/>
      <c r="G83"/>
      <c r="H83"/>
      <c r="I83"/>
      <c r="J83"/>
      <c r="K83"/>
    </row>
    <row r="84" spans="1:11" ht="15">
      <c r="A84" s="3" t="str">
        <f>"HHV  [Default: "&amp;H84&amp;" " &amp; C84&amp;"]"</f>
        <v>HHV  [Default: 1050 Btu/scf]</v>
      </c>
      <c r="B84" s="186"/>
      <c r="C84" s="60" t="s">
        <v>5</v>
      </c>
      <c r="F84"/>
      <c r="G84" s="66">
        <v>1050</v>
      </c>
      <c r="H84" s="67">
        <f>IF(ISNUMBER(B84),B84,G84)</f>
        <v>1050</v>
      </c>
      <c r="I84" s="205" t="s">
        <v>5</v>
      </c>
      <c r="J84" s="213" t="b">
        <v>0</v>
      </c>
      <c r="K84" s="70"/>
    </row>
    <row r="85" spans="1:11" ht="15">
      <c r="A85" s="3" t="str">
        <f>"F-factor (dry)  [Default: "&amp;H85&amp;" " &amp; C85&amp;"]"</f>
        <v>F-factor (dry)  [Default: 8710 dscf/MMBtu]</v>
      </c>
      <c r="B85" s="186"/>
      <c r="C85" s="60" t="s">
        <v>33</v>
      </c>
      <c r="F85"/>
      <c r="G85" s="66">
        <v>8710</v>
      </c>
      <c r="H85" s="67">
        <f>IF(ISNUMBER(B85),B85,G85)</f>
        <v>8710</v>
      </c>
      <c r="I85" s="205" t="s">
        <v>33</v>
      </c>
      <c r="J85" s="213" t="b">
        <v>0</v>
      </c>
      <c r="K85" s="70"/>
    </row>
    <row r="86" spans="1:11" ht="15">
      <c r="A86" s="8"/>
      <c r="B86" s="59"/>
      <c r="C86" s="59"/>
      <c r="D86" s="59"/>
      <c r="E86" s="59"/>
      <c r="F86"/>
      <c r="G86"/>
      <c r="H86"/>
      <c r="I86"/>
      <c r="J86"/>
      <c r="K86"/>
    </row>
    <row r="87" spans="1:11" ht="15">
      <c r="A87" s="99" t="s">
        <v>90</v>
      </c>
      <c r="B87" s="98"/>
      <c r="C87" s="98"/>
      <c r="D87" s="98"/>
      <c r="E87" s="98"/>
      <c r="F87"/>
      <c r="G87"/>
      <c r="H87"/>
      <c r="I87"/>
      <c r="J87"/>
      <c r="K87"/>
    </row>
    <row r="88" spans="1:11" ht="6.75" customHeight="1">
      <c r="A88" s="101"/>
      <c r="B88" s="59"/>
      <c r="C88" s="59"/>
      <c r="D88" s="59"/>
      <c r="E88" s="59"/>
      <c r="F88"/>
      <c r="G88"/>
      <c r="H88"/>
      <c r="I88"/>
      <c r="J88"/>
      <c r="K88"/>
    </row>
    <row r="89" spans="1:11" ht="15">
      <c r="A89" s="3" t="str">
        <f>"Max annual op hours [Default: "&amp;G89&amp;" " &amp; C89&amp;"]"</f>
        <v>Max annual op hours [Default: 8760 hr/yr]</v>
      </c>
      <c r="B89" s="186"/>
      <c r="C89" s="60" t="s">
        <v>30</v>
      </c>
      <c r="F89"/>
      <c r="G89" s="66">
        <v>8760</v>
      </c>
      <c r="H89" s="67">
        <f>IF(ISNUMBER(B89),B89,G89)</f>
        <v>8760</v>
      </c>
      <c r="I89" s="205" t="s">
        <v>43</v>
      </c>
      <c r="J89" s="213" t="b">
        <v>0</v>
      </c>
      <c r="K89" s="70"/>
    </row>
    <row r="90" spans="1:11" ht="15">
      <c r="A90" s="8"/>
      <c r="B90" s="59"/>
      <c r="C90" s="59"/>
      <c r="D90" s="59"/>
      <c r="E90" s="59"/>
      <c r="F90"/>
      <c r="G90"/>
      <c r="H90"/>
      <c r="I90"/>
      <c r="J90"/>
      <c r="K90"/>
    </row>
    <row r="91" spans="1:11" ht="15">
      <c r="A91" s="99" t="s">
        <v>58</v>
      </c>
      <c r="B91" s="98"/>
      <c r="C91" s="98"/>
      <c r="D91" s="98"/>
      <c r="E91" s="98"/>
      <c r="F91"/>
      <c r="G91"/>
      <c r="H91"/>
      <c r="I91"/>
      <c r="J91"/>
      <c r="K91"/>
    </row>
    <row r="92" spans="1:11" ht="6.75" customHeight="1">
      <c r="A92" s="101"/>
      <c r="B92" s="59"/>
      <c r="C92" s="59"/>
      <c r="D92" s="59"/>
      <c r="E92" s="59"/>
      <c r="F92"/>
      <c r="G92"/>
      <c r="H92"/>
      <c r="I92"/>
      <c r="J92"/>
      <c r="K92"/>
    </row>
    <row r="93" spans="1:11" ht="15">
      <c r="A93" s="3" t="str">
        <f>"Power demand  [Default: "&amp;G93&amp;" " &amp; C93&amp;"]"</f>
        <v>Power demand  [Default: 0 kW]</v>
      </c>
      <c r="B93" s="186"/>
      <c r="C93" s="60" t="s">
        <v>42</v>
      </c>
      <c r="F93"/>
      <c r="G93" s="148">
        <v>0</v>
      </c>
      <c r="H93" s="67">
        <f>IF(ISNUMBER(B93),B93,G93)</f>
        <v>0</v>
      </c>
      <c r="I93" s="204" t="str">
        <f>C93</f>
        <v>kW</v>
      </c>
      <c r="J93" s="206" t="b">
        <v>0</v>
      </c>
      <c r="K93" s="69"/>
    </row>
    <row r="94" spans="1:11" ht="15">
      <c r="A94" s="3" t="str">
        <f>"Electricity Cost  [Default: "&amp;G94&amp;" " &amp; C94&amp;"]"</f>
        <v>Electricity Cost  [Default: 0.1572 $/kWh]</v>
      </c>
      <c r="B94" s="186"/>
      <c r="C94" s="60" t="s">
        <v>6</v>
      </c>
      <c r="F94"/>
      <c r="G94" s="66">
        <v>0.15720000000000001</v>
      </c>
      <c r="H94" s="77">
        <f>IF(ISNUMBER(B94),B94,G94)</f>
        <v>0.15720000000000001</v>
      </c>
      <c r="I94" s="204" t="s">
        <v>6</v>
      </c>
      <c r="J94" s="213" t="b">
        <v>0</v>
      </c>
      <c r="K94" s="70"/>
    </row>
    <row r="95" spans="1:11" ht="15">
      <c r="A95" s="8"/>
      <c r="B95" s="59"/>
      <c r="C95" s="59"/>
      <c r="D95" s="59"/>
      <c r="E95" s="59"/>
      <c r="F95"/>
      <c r="G95"/>
      <c r="H95"/>
      <c r="I95"/>
      <c r="J95"/>
      <c r="K95"/>
    </row>
    <row r="96" spans="1:11" ht="15">
      <c r="F96"/>
      <c r="G96"/>
      <c r="J96"/>
      <c r="K96"/>
    </row>
    <row r="97" spans="1:11">
      <c r="A97" s="10"/>
      <c r="B97" s="10"/>
      <c r="C97" s="10"/>
      <c r="D97" s="16"/>
      <c r="E97" s="10"/>
      <c r="F97" s="3"/>
      <c r="G97" s="10"/>
      <c r="H97" s="17"/>
      <c r="I97" s="18"/>
      <c r="J97" s="10"/>
      <c r="K97" s="10"/>
    </row>
    <row r="98" spans="1:11">
      <c r="A98" s="10"/>
      <c r="B98" s="26"/>
      <c r="C98" s="26"/>
      <c r="D98" s="26"/>
      <c r="E98" s="26"/>
      <c r="F98" s="26"/>
      <c r="G98" s="10"/>
      <c r="H98" s="26"/>
      <c r="I98" s="26"/>
      <c r="J98" s="10"/>
      <c r="K98" s="10"/>
    </row>
    <row r="99" spans="1:11">
      <c r="A99" s="10"/>
      <c r="B99" s="26"/>
      <c r="C99" s="26"/>
      <c r="D99" s="26"/>
      <c r="E99" s="26"/>
      <c r="F99" s="26"/>
      <c r="G99" s="10"/>
      <c r="H99" s="26"/>
      <c r="I99" s="26"/>
      <c r="J99" s="10"/>
      <c r="K99" s="10"/>
    </row>
    <row r="100" spans="1:11">
      <c r="A100" s="10"/>
      <c r="B100" s="26"/>
      <c r="C100" s="26"/>
      <c r="D100" s="26"/>
      <c r="E100" s="26"/>
      <c r="F100" s="26"/>
      <c r="G100" s="10"/>
      <c r="H100" s="26"/>
      <c r="I100" s="26"/>
      <c r="J100" s="10"/>
      <c r="K100" s="10"/>
    </row>
    <row r="101" spans="1:11">
      <c r="A101" s="10"/>
      <c r="B101" s="26"/>
      <c r="C101" s="26"/>
      <c r="D101" s="26"/>
      <c r="E101" s="26"/>
      <c r="F101" s="26"/>
      <c r="G101" s="10"/>
      <c r="H101" s="26"/>
      <c r="I101" s="26"/>
      <c r="J101" s="10"/>
      <c r="K101" s="10"/>
    </row>
    <row r="102" spans="1:11">
      <c r="A102" s="10"/>
      <c r="B102" s="26"/>
      <c r="C102" s="26"/>
      <c r="D102" s="26"/>
      <c r="E102" s="26"/>
      <c r="F102" s="26"/>
      <c r="G102" s="10"/>
      <c r="H102" s="26"/>
      <c r="I102" s="26"/>
      <c r="J102" s="10"/>
      <c r="K102" s="10"/>
    </row>
    <row r="103" spans="1:11">
      <c r="A103" s="10"/>
      <c r="B103" s="26"/>
      <c r="C103" s="26"/>
      <c r="D103" s="26"/>
      <c r="E103" s="26"/>
      <c r="F103" s="26"/>
      <c r="G103" s="10"/>
      <c r="H103" s="26"/>
      <c r="I103" s="26"/>
      <c r="J103" s="10"/>
      <c r="K103" s="10"/>
    </row>
    <row r="104" spans="1:11">
      <c r="A104" s="10"/>
      <c r="B104" s="26"/>
      <c r="C104" s="26"/>
      <c r="D104" s="26"/>
      <c r="E104" s="26"/>
      <c r="F104" s="26"/>
      <c r="G104" s="10"/>
      <c r="H104" s="26"/>
      <c r="I104" s="26"/>
      <c r="J104" s="10"/>
      <c r="K104" s="10"/>
    </row>
    <row r="105" spans="1:11">
      <c r="A105" s="10"/>
      <c r="B105" s="26"/>
      <c r="C105" s="26"/>
      <c r="D105" s="26"/>
      <c r="E105" s="26"/>
      <c r="F105" s="26"/>
      <c r="G105" s="10"/>
      <c r="H105" s="26"/>
      <c r="I105" s="26"/>
      <c r="J105" s="10"/>
      <c r="K105" s="10"/>
    </row>
    <row r="106" spans="1:11">
      <c r="A106" s="10"/>
      <c r="B106" s="26"/>
      <c r="C106" s="26"/>
      <c r="D106" s="26"/>
      <c r="E106" s="26"/>
      <c r="F106" s="26"/>
      <c r="G106" s="10"/>
      <c r="H106" s="26"/>
      <c r="I106" s="26"/>
      <c r="J106" s="10"/>
      <c r="K106" s="10"/>
    </row>
    <row r="107" spans="1:11">
      <c r="A107" s="10"/>
      <c r="B107" s="26"/>
      <c r="C107" s="26"/>
      <c r="D107" s="26"/>
      <c r="E107" s="26"/>
      <c r="F107" s="26"/>
      <c r="G107" s="10"/>
      <c r="H107" s="26"/>
      <c r="I107" s="26"/>
      <c r="J107" s="10"/>
      <c r="K107" s="10"/>
    </row>
    <row r="108" spans="1:11">
      <c r="A108" s="10"/>
      <c r="B108" s="26"/>
      <c r="C108" s="26"/>
      <c r="D108" s="26"/>
      <c r="E108" s="26"/>
      <c r="F108" s="26"/>
      <c r="G108" s="10"/>
      <c r="H108" s="26"/>
      <c r="I108" s="26"/>
      <c r="J108" s="10"/>
      <c r="K108" s="10"/>
    </row>
    <row r="109" spans="1:11">
      <c r="A109" s="10"/>
      <c r="B109" s="26"/>
      <c r="C109" s="26"/>
      <c r="D109" s="26"/>
      <c r="E109" s="26"/>
      <c r="F109" s="26"/>
      <c r="G109" s="10"/>
      <c r="H109" s="26"/>
      <c r="I109" s="26"/>
      <c r="J109" s="10"/>
      <c r="K109" s="10"/>
    </row>
    <row r="110" spans="1:11">
      <c r="A110" s="10"/>
      <c r="B110" s="26"/>
      <c r="C110" s="26"/>
      <c r="D110" s="26"/>
      <c r="E110" s="26"/>
      <c r="F110" s="26"/>
      <c r="G110" s="10"/>
      <c r="H110" s="26"/>
      <c r="I110" s="26"/>
      <c r="J110" s="10"/>
      <c r="K110" s="10"/>
    </row>
    <row r="111" spans="1:11">
      <c r="A111" s="10"/>
      <c r="B111" s="26"/>
      <c r="C111" s="26"/>
      <c r="D111" s="26"/>
      <c r="E111" s="26"/>
      <c r="F111" s="26"/>
      <c r="G111" s="10"/>
      <c r="H111" s="26"/>
      <c r="I111" s="26"/>
      <c r="J111" s="10"/>
      <c r="K111" s="10"/>
    </row>
    <row r="112" spans="1:11">
      <c r="A112" s="10"/>
      <c r="B112" s="26"/>
      <c r="C112" s="26"/>
      <c r="D112" s="26"/>
      <c r="E112" s="26"/>
      <c r="F112" s="26"/>
      <c r="G112" s="10"/>
      <c r="H112" s="26"/>
      <c r="I112" s="26"/>
      <c r="J112" s="10"/>
      <c r="K112" s="10"/>
    </row>
    <row r="113" spans="1:11">
      <c r="A113" s="10"/>
      <c r="B113" s="26"/>
      <c r="C113" s="26"/>
      <c r="D113" s="26"/>
      <c r="E113" s="26"/>
      <c r="F113" s="26"/>
      <c r="G113" s="10"/>
      <c r="H113" s="26"/>
      <c r="I113" s="26"/>
      <c r="J113" s="10"/>
      <c r="K113" s="10"/>
    </row>
  </sheetData>
  <customSheetViews>
    <customSheetView guid="{9BB43D49-5D78-4E4A-AB52-EDF70C494511}" showPageBreaks="1" showGridLines="0" printArea="1" hiddenRows="1" hiddenColumns="1" state="hidden">
      <selection activeCell="A3" sqref="A3"/>
      <pageMargins left="0.7" right="0.7" top="0.75" bottom="0.75" header="0.3" footer="0.3"/>
      <pageSetup scale="45" fitToHeight="2" orientation="portrait" horizontalDpi="300" verticalDpi="300" r:id="rId1"/>
      <headerFooter alignWithMargins="0">
        <oddHeader>&amp;CAttachment B
NOx BACT Analysis
Based on EPA Algorithms for Traditional SCR</oddHeader>
      </headerFooter>
    </customSheetView>
  </customSheetViews>
  <conditionalFormatting sqref="B44:B55 B15:B42 B57:B70 B72:B95">
    <cfRule type="expression" dxfId="74" priority="4">
      <formula>$J15="N/A"</formula>
    </cfRule>
    <cfRule type="expression" dxfId="73" priority="5">
      <formula>$J15="Req'd"</formula>
    </cfRule>
  </conditionalFormatting>
  <conditionalFormatting sqref="C18:C20 C24:C25 C30:C32 C36:C37">
    <cfRule type="expression" dxfId="72" priority="3">
      <formula>B18&lt;&gt;""</formula>
    </cfRule>
  </conditionalFormatting>
  <conditionalFormatting sqref="B71">
    <cfRule type="expression" dxfId="71" priority="1">
      <formula>$J71="N/A"</formula>
    </cfRule>
    <cfRule type="expression" dxfId="70" priority="2">
      <formula>$J71="Req'd"</formula>
    </cfRule>
  </conditionalFormatting>
  <pageMargins left="0.7" right="0.7" top="0.75" bottom="0.75" header="0.3" footer="0.3"/>
  <pageSetup scale="45" fitToHeight="2" orientation="portrait" horizontalDpi="300" verticalDpi="300" r:id="rId2"/>
  <headerFooter alignWithMargins="0">
    <oddHeader>&amp;CAttachment B
NOx BACT Analysis
Based on EPA Algorithms for Traditional SCR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69"/>
  <sheetViews>
    <sheetView showGridLines="0" tabSelected="1" view="pageBreakPreview" topLeftCell="A65" zoomScaleNormal="90" zoomScaleSheetLayoutView="100" zoomScalePageLayoutView="130" workbookViewId="0">
      <selection activeCell="B69" sqref="B69"/>
    </sheetView>
  </sheetViews>
  <sheetFormatPr defaultRowHeight="15"/>
  <cols>
    <col min="1" max="1" width="42" style="3" customWidth="1"/>
    <col min="2" max="2" width="17.140625" style="439" customWidth="1"/>
    <col min="3" max="3" width="14.5703125" style="439" customWidth="1"/>
    <col min="4" max="4" width="11.5703125" style="4" customWidth="1"/>
    <col min="5" max="5" width="12.42578125" style="4" customWidth="1"/>
    <col min="6" max="6" width="24.5703125" style="4" customWidth="1"/>
    <col min="7" max="7" width="48.7109375" style="374" customWidth="1"/>
    <col min="8" max="8" width="12.42578125" style="4" customWidth="1"/>
    <col min="9" max="9" width="12.42578125" style="3" customWidth="1"/>
    <col min="10" max="10" width="12.42578125" style="4" customWidth="1"/>
    <col min="11" max="11" width="17.42578125" style="4" customWidth="1"/>
    <col min="12" max="12" width="12.42578125" style="3" customWidth="1"/>
    <col min="13" max="13" width="30.28515625" style="3" customWidth="1"/>
    <col min="14" max="16384" width="9.140625" style="3"/>
  </cols>
  <sheetData>
    <row r="1" spans="1:13" ht="18.75">
      <c r="A1" s="553" t="s">
        <v>153</v>
      </c>
      <c r="B1" s="553"/>
      <c r="C1" s="553"/>
      <c r="D1" s="553"/>
      <c r="E1" s="553"/>
      <c r="F1" s="553"/>
      <c r="G1" s="553"/>
      <c r="H1" s="2"/>
      <c r="I1" s="2"/>
      <c r="J1" s="2"/>
      <c r="K1" s="2"/>
      <c r="L1" s="2"/>
      <c r="M1" s="2"/>
    </row>
    <row r="2" spans="1:13" ht="18.75">
      <c r="A2" s="553" t="s">
        <v>72</v>
      </c>
      <c r="B2" s="553"/>
      <c r="C2" s="553"/>
      <c r="D2" s="553"/>
      <c r="E2" s="553"/>
      <c r="F2" s="553"/>
      <c r="G2" s="553"/>
      <c r="H2" s="2"/>
      <c r="I2" s="2"/>
      <c r="J2" s="2"/>
      <c r="K2" s="2"/>
      <c r="L2" s="2"/>
      <c r="M2" s="2"/>
    </row>
    <row r="3" spans="1:13" ht="18.75">
      <c r="A3" s="553" t="s">
        <v>296</v>
      </c>
      <c r="B3" s="553"/>
      <c r="C3" s="553"/>
      <c r="D3" s="553"/>
      <c r="E3" s="553"/>
      <c r="F3" s="553"/>
      <c r="G3" s="553"/>
      <c r="H3" s="2"/>
      <c r="I3" s="2"/>
      <c r="J3" s="2"/>
      <c r="K3" s="2"/>
      <c r="L3" s="2"/>
      <c r="M3" s="2"/>
    </row>
    <row r="4" spans="1:13" customFormat="1" ht="12.75" customHeight="1">
      <c r="B4" s="537" t="s">
        <v>297</v>
      </c>
      <c r="C4" s="536"/>
      <c r="G4" s="374"/>
      <c r="H4" s="343"/>
    </row>
    <row r="5" spans="1:13" customFormat="1" ht="19.5" thickBot="1">
      <c r="A5" s="6" t="s">
        <v>91</v>
      </c>
      <c r="B5" s="420"/>
      <c r="C5" s="420"/>
      <c r="D5" s="7"/>
      <c r="E5" s="7"/>
      <c r="F5" s="7"/>
      <c r="G5" s="516"/>
      <c r="H5" s="343"/>
      <c r="M5" s="2"/>
    </row>
    <row r="6" spans="1:13" s="344" customFormat="1" ht="15.75" thickTop="1">
      <c r="A6" s="3"/>
      <c r="B6" s="421"/>
      <c r="C6" s="481"/>
      <c r="E6" s="345"/>
      <c r="F6" s="345"/>
      <c r="G6" s="374"/>
      <c r="H6" s="4"/>
      <c r="M6" s="103"/>
    </row>
    <row r="7" spans="1:13" customFormat="1" ht="30">
      <c r="A7" s="119" t="s">
        <v>95</v>
      </c>
      <c r="B7" s="422" t="s">
        <v>94</v>
      </c>
      <c r="C7" s="482" t="s">
        <v>98</v>
      </c>
      <c r="D7" s="135" t="s">
        <v>217</v>
      </c>
      <c r="E7" s="136" t="s">
        <v>99</v>
      </c>
      <c r="F7" s="137"/>
      <c r="G7" s="517" t="s">
        <v>218</v>
      </c>
      <c r="H7" s="4"/>
      <c r="I7" s="63" t="s">
        <v>25</v>
      </c>
      <c r="J7" s="64" t="s">
        <v>31</v>
      </c>
      <c r="K7" s="64" t="s">
        <v>34</v>
      </c>
      <c r="L7" s="64" t="s">
        <v>59</v>
      </c>
      <c r="M7" s="65" t="s">
        <v>32</v>
      </c>
    </row>
    <row r="8" spans="1:13" customFormat="1">
      <c r="B8" s="419"/>
      <c r="C8" s="419"/>
      <c r="G8" s="374"/>
      <c r="H8" s="343"/>
      <c r="M8" s="221"/>
    </row>
    <row r="9" spans="1:13" customFormat="1">
      <c r="A9" s="550" t="s">
        <v>165</v>
      </c>
      <c r="B9" s="551"/>
      <c r="C9" s="551"/>
      <c r="D9" s="551"/>
      <c r="E9" s="551"/>
      <c r="F9" s="551"/>
      <c r="G9" s="552"/>
      <c r="H9" s="4"/>
      <c r="M9" s="221"/>
    </row>
    <row r="10" spans="1:13" ht="18.75">
      <c r="A10" s="346" t="s">
        <v>157</v>
      </c>
      <c r="B10" s="423"/>
      <c r="C10" s="423"/>
      <c r="D10" s="347"/>
      <c r="E10" s="347"/>
      <c r="F10" s="347"/>
      <c r="G10" s="518"/>
      <c r="I10" s="259"/>
      <c r="J10" s="260"/>
      <c r="K10" s="261"/>
      <c r="L10" s="262"/>
      <c r="M10" s="263"/>
    </row>
    <row r="11" spans="1:13">
      <c r="A11" s="267" t="s">
        <v>154</v>
      </c>
      <c r="B11" s="424">
        <v>0</v>
      </c>
      <c r="C11" s="483"/>
      <c r="D11" s="348" t="s">
        <v>173</v>
      </c>
      <c r="E11" s="349" t="s">
        <v>7</v>
      </c>
      <c r="F11" s="237"/>
      <c r="G11" s="519" t="s">
        <v>219</v>
      </c>
      <c r="I11" s="246"/>
      <c r="J11" s="248">
        <f>B11</f>
        <v>0</v>
      </c>
      <c r="K11" s="296" t="s">
        <v>61</v>
      </c>
      <c r="L11" s="249" t="b">
        <f>IF(B11="","Req'd")</f>
        <v>0</v>
      </c>
      <c r="M11" s="250" t="s">
        <v>172</v>
      </c>
    </row>
    <row r="12" spans="1:13">
      <c r="A12" s="270" t="s">
        <v>220</v>
      </c>
      <c r="B12" s="425">
        <v>0</v>
      </c>
      <c r="C12" s="484"/>
      <c r="D12" s="272" t="s">
        <v>173</v>
      </c>
      <c r="E12" s="291" t="s">
        <v>11</v>
      </c>
      <c r="F12" s="40"/>
      <c r="G12" s="519" t="s">
        <v>219</v>
      </c>
      <c r="I12" s="264"/>
      <c r="J12" s="265">
        <f>IF(ISNUMBER(B12),B12,C12)</f>
        <v>0</v>
      </c>
      <c r="K12" s="299" t="s">
        <v>61</v>
      </c>
      <c r="L12" s="249" t="b">
        <f>IF(B12="","Req'd")</f>
        <v>0</v>
      </c>
      <c r="M12" s="250" t="s">
        <v>172</v>
      </c>
    </row>
    <row r="13" spans="1:13">
      <c r="A13" s="127" t="s">
        <v>155</v>
      </c>
      <c r="B13" s="425"/>
      <c r="C13" s="485">
        <f>D13*B11</f>
        <v>0</v>
      </c>
      <c r="D13" s="272">
        <v>0.03</v>
      </c>
      <c r="E13" s="291" t="str">
        <f>"C = "&amp;TEXT(D13,"0.00")&amp;" x A"</f>
        <v>C = 0.03 x A</v>
      </c>
      <c r="F13" s="40"/>
      <c r="G13" s="520" t="s">
        <v>266</v>
      </c>
      <c r="I13" s="246"/>
      <c r="J13" s="247">
        <f>IF(ISNUMBER(B13),B13,C13)</f>
        <v>0</v>
      </c>
      <c r="K13" s="296" t="s">
        <v>61</v>
      </c>
      <c r="L13" s="249"/>
      <c r="M13" s="250"/>
    </row>
    <row r="14" spans="1:13">
      <c r="A14" s="127" t="s">
        <v>156</v>
      </c>
      <c r="B14" s="425"/>
      <c r="C14" s="485">
        <f>D14*(B11+B12)</f>
        <v>0</v>
      </c>
      <c r="D14" s="272">
        <v>0.51</v>
      </c>
      <c r="E14" s="291" t="str">
        <f>"D = "&amp;TEXT(D14,"0.00")&amp;" x (A+B)"</f>
        <v>D = 0.51 x (A+B)</v>
      </c>
      <c r="F14" s="40"/>
      <c r="G14" s="520" t="s">
        <v>266</v>
      </c>
      <c r="I14" s="246"/>
      <c r="J14" s="247">
        <f>IF(ISNUMBER(B14),B14,C14)</f>
        <v>0</v>
      </c>
      <c r="K14" s="296" t="s">
        <v>61</v>
      </c>
      <c r="L14" s="249"/>
      <c r="M14" s="250"/>
    </row>
    <row r="15" spans="1:13">
      <c r="A15" s="127" t="s">
        <v>188</v>
      </c>
      <c r="B15" s="426"/>
      <c r="C15" s="485">
        <f>D15*SUM(J11:J13)</f>
        <v>0</v>
      </c>
      <c r="D15" s="350">
        <v>0</v>
      </c>
      <c r="E15" s="291" t="s">
        <v>183</v>
      </c>
      <c r="F15" s="40"/>
      <c r="G15" s="519" t="s">
        <v>221</v>
      </c>
      <c r="I15" s="246"/>
      <c r="J15" s="247">
        <f>IF(ISNUMBER(B15),B15,C15)</f>
        <v>0</v>
      </c>
      <c r="K15" s="296" t="s">
        <v>61</v>
      </c>
      <c r="L15" s="249"/>
      <c r="M15" s="250"/>
    </row>
    <row r="16" spans="1:13">
      <c r="A16" s="351" t="s">
        <v>182</v>
      </c>
      <c r="B16" s="427">
        <f>J16</f>
        <v>0</v>
      </c>
      <c r="C16" s="486"/>
      <c r="D16" s="276" t="s">
        <v>173</v>
      </c>
      <c r="E16" s="241" t="s">
        <v>175</v>
      </c>
      <c r="F16" s="239"/>
      <c r="G16" s="521"/>
      <c r="I16" s="255"/>
      <c r="J16" s="256">
        <f>SUM(J11:J15)</f>
        <v>0</v>
      </c>
      <c r="K16" s="300" t="s">
        <v>61</v>
      </c>
      <c r="L16" s="257"/>
      <c r="M16" s="258"/>
    </row>
    <row r="17" spans="1:13">
      <c r="A17" s="346" t="s">
        <v>174</v>
      </c>
      <c r="B17" s="428"/>
      <c r="C17" s="487"/>
      <c r="D17" s="276"/>
      <c r="E17" s="352"/>
      <c r="F17" s="352"/>
      <c r="G17" s="522"/>
      <c r="I17" s="259"/>
      <c r="J17" s="260"/>
      <c r="K17" s="261"/>
      <c r="L17" s="262"/>
      <c r="M17" s="263"/>
    </row>
    <row r="18" spans="1:13">
      <c r="A18" s="267" t="s">
        <v>158</v>
      </c>
      <c r="B18" s="424"/>
      <c r="C18" s="488">
        <f t="shared" ref="C18:C23" si="0">D18*$B$16</f>
        <v>0</v>
      </c>
      <c r="D18" s="348">
        <v>0.02</v>
      </c>
      <c r="E18" s="268" t="str">
        <f t="shared" ref="E18:E23" si="1">TEXT(D18,"0.00")&amp;" x PE"</f>
        <v>0.02 x PE</v>
      </c>
      <c r="F18" s="237"/>
      <c r="G18" s="520" t="s">
        <v>266</v>
      </c>
      <c r="I18" s="246"/>
      <c r="J18" s="247">
        <f t="shared" ref="J18:J23" si="2">IF(ISNUMBER(B18),B18,C18)</f>
        <v>0</v>
      </c>
      <c r="K18" s="296" t="s">
        <v>61</v>
      </c>
      <c r="L18" s="249"/>
      <c r="M18" s="250"/>
    </row>
    <row r="19" spans="1:13">
      <c r="A19" s="127" t="s">
        <v>159</v>
      </c>
      <c r="B19" s="425"/>
      <c r="C19" s="485">
        <f t="shared" si="0"/>
        <v>0</v>
      </c>
      <c r="D19" s="272">
        <v>0.16</v>
      </c>
      <c r="E19" s="240" t="str">
        <f t="shared" si="1"/>
        <v>0.16 x PE</v>
      </c>
      <c r="F19" s="40"/>
      <c r="G19" s="520" t="s">
        <v>266</v>
      </c>
      <c r="I19" s="246"/>
      <c r="J19" s="247">
        <f t="shared" si="2"/>
        <v>0</v>
      </c>
      <c r="K19" s="296" t="s">
        <v>61</v>
      </c>
      <c r="L19" s="249"/>
      <c r="M19" s="250"/>
    </row>
    <row r="20" spans="1:13">
      <c r="A20" s="127" t="s">
        <v>160</v>
      </c>
      <c r="B20" s="425"/>
      <c r="C20" s="485">
        <f t="shared" si="0"/>
        <v>0</v>
      </c>
      <c r="D20" s="272">
        <v>0.21</v>
      </c>
      <c r="E20" s="240" t="str">
        <f t="shared" si="1"/>
        <v>0.21 x PE</v>
      </c>
      <c r="F20" s="40"/>
      <c r="G20" s="520" t="s">
        <v>266</v>
      </c>
      <c r="I20" s="246"/>
      <c r="J20" s="247">
        <f>IF(ISNUMBER(B20),B20,C20)</f>
        <v>0</v>
      </c>
      <c r="K20" s="296" t="s">
        <v>61</v>
      </c>
      <c r="L20" s="249"/>
      <c r="M20" s="250"/>
    </row>
    <row r="21" spans="1:13">
      <c r="A21" s="127" t="s">
        <v>161</v>
      </c>
      <c r="B21" s="425"/>
      <c r="C21" s="485">
        <f t="shared" si="0"/>
        <v>0</v>
      </c>
      <c r="D21" s="272">
        <v>0.08</v>
      </c>
      <c r="E21" s="240" t="str">
        <f t="shared" si="1"/>
        <v>0.08 x PE</v>
      </c>
      <c r="F21" s="40"/>
      <c r="G21" s="520" t="s">
        <v>266</v>
      </c>
      <c r="I21" s="246"/>
      <c r="J21" s="247">
        <f t="shared" si="2"/>
        <v>0</v>
      </c>
      <c r="K21" s="296" t="s">
        <v>61</v>
      </c>
      <c r="L21" s="249"/>
      <c r="M21" s="250"/>
    </row>
    <row r="22" spans="1:13">
      <c r="A22" s="127" t="s">
        <v>162</v>
      </c>
      <c r="B22" s="425"/>
      <c r="C22" s="485">
        <f t="shared" si="0"/>
        <v>0</v>
      </c>
      <c r="D22" s="272">
        <v>7.0000000000000007E-2</v>
      </c>
      <c r="E22" s="240" t="str">
        <f t="shared" si="1"/>
        <v>0.07 x PE</v>
      </c>
      <c r="F22" s="40"/>
      <c r="G22" s="520" t="s">
        <v>266</v>
      </c>
      <c r="I22" s="246"/>
      <c r="J22" s="247">
        <f t="shared" si="2"/>
        <v>0</v>
      </c>
      <c r="K22" s="296" t="s">
        <v>61</v>
      </c>
      <c r="L22" s="249"/>
      <c r="M22" s="250"/>
    </row>
    <row r="23" spans="1:13">
      <c r="A23" s="127" t="s">
        <v>163</v>
      </c>
      <c r="B23" s="425"/>
      <c r="C23" s="485">
        <f t="shared" si="0"/>
        <v>0</v>
      </c>
      <c r="D23" s="272">
        <v>1E-3</v>
      </c>
      <c r="E23" s="240" t="str">
        <f t="shared" si="1"/>
        <v>0.00 x PE</v>
      </c>
      <c r="F23" s="40"/>
      <c r="G23" s="520" t="s">
        <v>266</v>
      </c>
      <c r="I23" s="246"/>
      <c r="J23" s="247">
        <f t="shared" si="2"/>
        <v>0</v>
      </c>
      <c r="K23" s="296" t="s">
        <v>61</v>
      </c>
      <c r="L23" s="249"/>
      <c r="M23" s="250"/>
    </row>
    <row r="24" spans="1:13">
      <c r="A24" s="127" t="s">
        <v>164</v>
      </c>
      <c r="B24" s="426">
        <f>D24*(B11+B12)</f>
        <v>0</v>
      </c>
      <c r="C24" s="489"/>
      <c r="D24" s="380">
        <v>7.0000000000000007E-2</v>
      </c>
      <c r="E24" s="240" t="str">
        <f>D24&amp;" x (A+B)"</f>
        <v>0.07 x (A+B)</v>
      </c>
      <c r="F24" s="40"/>
      <c r="G24" s="520" t="s">
        <v>265</v>
      </c>
      <c r="I24" s="251"/>
      <c r="J24" s="252">
        <f>B24</f>
        <v>0</v>
      </c>
      <c r="K24" s="297" t="s">
        <v>61</v>
      </c>
      <c r="L24" s="253" t="b">
        <f>IF(B24="","Req'd")</f>
        <v>0</v>
      </c>
      <c r="M24" s="254"/>
    </row>
    <row r="25" spans="1:13">
      <c r="A25" s="238" t="s">
        <v>181</v>
      </c>
      <c r="B25" s="427">
        <f>J25</f>
        <v>0</v>
      </c>
      <c r="C25" s="490"/>
      <c r="D25" s="276" t="s">
        <v>173</v>
      </c>
      <c r="E25" s="283" t="s">
        <v>176</v>
      </c>
      <c r="F25" s="284"/>
      <c r="G25" s="521"/>
      <c r="I25" s="242"/>
      <c r="J25" s="243">
        <f>SUM(J18:J24)</f>
        <v>0</v>
      </c>
      <c r="K25" s="298" t="s">
        <v>61</v>
      </c>
      <c r="L25" s="244"/>
      <c r="M25" s="245"/>
    </row>
    <row r="26" spans="1:13" customFormat="1">
      <c r="A26" s="115" t="s">
        <v>180</v>
      </c>
      <c r="B26" s="429">
        <f>SUM(B16,B25)</f>
        <v>0</v>
      </c>
      <c r="C26" s="491"/>
      <c r="D26" s="277" t="s">
        <v>173</v>
      </c>
      <c r="E26" s="266" t="s">
        <v>179</v>
      </c>
      <c r="F26" s="38"/>
      <c r="G26" s="521"/>
      <c r="H26" s="3"/>
      <c r="I26" s="148"/>
      <c r="J26" s="85">
        <f>SUM(J16,J25)</f>
        <v>0</v>
      </c>
      <c r="K26" s="295" t="s">
        <v>61</v>
      </c>
      <c r="L26" s="169"/>
      <c r="M26" s="222"/>
    </row>
    <row r="27" spans="1:13">
      <c r="A27" s="234"/>
      <c r="B27" s="430"/>
      <c r="C27" s="492"/>
      <c r="D27" s="273"/>
      <c r="E27" s="235"/>
      <c r="F27" s="235"/>
      <c r="I27" s="231"/>
      <c r="J27" s="236"/>
      <c r="K27" s="232"/>
      <c r="L27" s="18"/>
      <c r="M27" s="233"/>
    </row>
    <row r="28" spans="1:13" customFormat="1">
      <c r="A28" s="550" t="s">
        <v>166</v>
      </c>
      <c r="B28" s="551"/>
      <c r="C28" s="551"/>
      <c r="D28" s="551"/>
      <c r="E28" s="551"/>
      <c r="F28" s="551"/>
      <c r="G28" s="552"/>
      <c r="H28" s="4"/>
      <c r="M28" s="221"/>
    </row>
    <row r="29" spans="1:13" customFormat="1">
      <c r="A29" s="353" t="s">
        <v>178</v>
      </c>
      <c r="B29" s="431"/>
      <c r="C29" s="431"/>
      <c r="D29" s="277"/>
      <c r="E29" s="106"/>
      <c r="F29" s="106"/>
      <c r="G29" s="523"/>
      <c r="H29" s="4"/>
      <c r="M29" s="221"/>
    </row>
    <row r="30" spans="1:13" customFormat="1">
      <c r="A30" s="267" t="s">
        <v>167</v>
      </c>
      <c r="B30" s="432"/>
      <c r="C30" s="488">
        <f>D30*$B$16</f>
        <v>0</v>
      </c>
      <c r="D30" s="348">
        <v>0.28000000000000003</v>
      </c>
      <c r="E30" s="268" t="str">
        <f>TEXT(D30,"0.00")&amp;" x PE"</f>
        <v>0.28 x PE</v>
      </c>
      <c r="F30" s="237"/>
      <c r="G30" s="520" t="s">
        <v>266</v>
      </c>
      <c r="H30" s="4"/>
      <c r="I30" s="148"/>
      <c r="J30" s="86">
        <f>IF(ISNUMBER(B30),B30,C30)</f>
        <v>0</v>
      </c>
      <c r="K30" s="295" t="s">
        <v>61</v>
      </c>
      <c r="L30" s="143" t="b">
        <v>0</v>
      </c>
      <c r="M30" s="222"/>
    </row>
    <row r="31" spans="1:13" customFormat="1">
      <c r="A31" s="267" t="s">
        <v>171</v>
      </c>
      <c r="B31" s="432"/>
      <c r="C31" s="488">
        <f>D31*$B$16</f>
        <v>0</v>
      </c>
      <c r="D31" s="348">
        <v>0.09</v>
      </c>
      <c r="E31" s="268" t="str">
        <f>TEXT(D31,"0.00")&amp;" x PE"</f>
        <v>0.09 x PE</v>
      </c>
      <c r="F31" s="237"/>
      <c r="G31" s="520" t="s">
        <v>266</v>
      </c>
      <c r="H31" s="4"/>
      <c r="I31" s="148"/>
      <c r="J31" s="86">
        <f>IF(ISNUMBER(B31),B31,C31)</f>
        <v>0</v>
      </c>
      <c r="K31" s="295" t="s">
        <v>61</v>
      </c>
      <c r="L31" s="143" t="b">
        <v>0</v>
      </c>
      <c r="M31" s="222"/>
    </row>
    <row r="32" spans="1:13" customFormat="1">
      <c r="A32" s="267" t="s">
        <v>168</v>
      </c>
      <c r="B32" s="432"/>
      <c r="C32" s="488">
        <f>D32*$B$16</f>
        <v>0</v>
      </c>
      <c r="D32" s="348">
        <v>0.03</v>
      </c>
      <c r="E32" s="268" t="str">
        <f>TEXT(D32,"0.00")&amp;" x PE"</f>
        <v>0.03 x PE</v>
      </c>
      <c r="F32" s="237"/>
      <c r="G32" s="520" t="s">
        <v>266</v>
      </c>
      <c r="H32" s="4"/>
      <c r="I32" s="148"/>
      <c r="J32" s="86">
        <f>IF(ISNUMBER(B32),B32,C32)</f>
        <v>0</v>
      </c>
      <c r="K32" s="295" t="s">
        <v>61</v>
      </c>
      <c r="L32" s="143" t="b">
        <v>0</v>
      </c>
      <c r="M32" s="222"/>
    </row>
    <row r="33" spans="1:13" customFormat="1">
      <c r="A33" s="127" t="s">
        <v>169</v>
      </c>
      <c r="B33" s="433"/>
      <c r="C33" s="485">
        <f>D33*$B$16</f>
        <v>0</v>
      </c>
      <c r="D33" s="272">
        <v>0.02</v>
      </c>
      <c r="E33" s="240" t="str">
        <f>TEXT(D33,"0.00")&amp;" x PE"</f>
        <v>0.02 x PE</v>
      </c>
      <c r="F33" s="40"/>
      <c r="G33" s="520" t="s">
        <v>266</v>
      </c>
      <c r="H33" s="4"/>
      <c r="I33" s="148"/>
      <c r="J33" s="86">
        <f>IF(ISNUMBER(B33),B33,C33)</f>
        <v>0</v>
      </c>
      <c r="K33" s="295" t="s">
        <v>61</v>
      </c>
      <c r="L33" s="143" t="b">
        <v>0</v>
      </c>
      <c r="M33" s="222"/>
    </row>
    <row r="34" spans="1:13" customFormat="1">
      <c r="A34" s="130" t="s">
        <v>170</v>
      </c>
      <c r="B34" s="434"/>
      <c r="C34" s="493">
        <f>D34*$B$16</f>
        <v>0</v>
      </c>
      <c r="D34" s="355">
        <v>0.01</v>
      </c>
      <c r="E34" s="269" t="str">
        <f>TEXT(D34,"0.00")&amp;" x PE"</f>
        <v>0.01 x PE</v>
      </c>
      <c r="F34" s="41"/>
      <c r="G34" s="520" t="s">
        <v>266</v>
      </c>
      <c r="H34" s="4"/>
      <c r="I34" s="148"/>
      <c r="J34" s="86">
        <f>IF(ISNUMBER(B34),B34,C34)</f>
        <v>0</v>
      </c>
      <c r="K34" s="295" t="s">
        <v>61</v>
      </c>
      <c r="L34" s="143" t="b">
        <v>0</v>
      </c>
      <c r="M34" s="222"/>
    </row>
    <row r="35" spans="1:13" customFormat="1">
      <c r="A35" s="115" t="s">
        <v>222</v>
      </c>
      <c r="B35" s="435">
        <f>J35</f>
        <v>0</v>
      </c>
      <c r="C35" s="494"/>
      <c r="D35" s="274" t="s">
        <v>173</v>
      </c>
      <c r="E35" s="271" t="s">
        <v>177</v>
      </c>
      <c r="F35" s="42"/>
      <c r="G35" s="521"/>
      <c r="H35" s="4"/>
      <c r="I35" s="148"/>
      <c r="J35" s="85">
        <f>SUM(J30:J34)</f>
        <v>0</v>
      </c>
      <c r="K35" s="295" t="s">
        <v>61</v>
      </c>
      <c r="L35" s="143"/>
      <c r="M35" s="222"/>
    </row>
    <row r="36" spans="1:13" customFormat="1">
      <c r="B36" s="419"/>
      <c r="C36" s="419"/>
      <c r="G36" s="524"/>
      <c r="H36" s="343"/>
    </row>
    <row r="37" spans="1:13" customFormat="1">
      <c r="A37" s="353" t="s">
        <v>96</v>
      </c>
      <c r="B37" s="431"/>
      <c r="C37" s="431"/>
      <c r="D37" s="277"/>
      <c r="E37" s="106"/>
      <c r="F37" s="106"/>
      <c r="G37" s="523"/>
      <c r="H37" s="4"/>
      <c r="M37" s="221"/>
    </row>
    <row r="38" spans="1:13" s="5" customFormat="1">
      <c r="A38" s="302" t="s">
        <v>12</v>
      </c>
      <c r="B38" s="436"/>
      <c r="C38" s="495">
        <f>D38*(B26+B35)</f>
        <v>0</v>
      </c>
      <c r="D38" s="356">
        <v>0.15</v>
      </c>
      <c r="E38" s="357" t="str">
        <f>"E = "&amp;TEXT(D38,"0.00") &amp;" x (DC+IC)"</f>
        <v>E = 0.15 x (DC+IC)</v>
      </c>
      <c r="F38" s="358"/>
      <c r="G38" s="525" t="s">
        <v>223</v>
      </c>
      <c r="I38" s="145"/>
      <c r="J38" s="86">
        <f>IF(ISNUMBER(B38),B38,C38)</f>
        <v>0</v>
      </c>
      <c r="K38" s="295" t="s">
        <v>61</v>
      </c>
      <c r="L38" s="143"/>
      <c r="M38" s="223"/>
    </row>
    <row r="39" spans="1:13" s="5" customFormat="1">
      <c r="A39" s="302" t="s">
        <v>13</v>
      </c>
      <c r="B39" s="436"/>
      <c r="C39" s="495">
        <f>D39*SUM(B26,B35,J38)</f>
        <v>0</v>
      </c>
      <c r="D39" s="356">
        <v>0.03</v>
      </c>
      <c r="E39" s="303" t="str">
        <f>"F = "&amp;TEXT(D39,"0.00")&amp;" x (DC+IC+Cont)"</f>
        <v>F = 0.03 x (DC+IC+Cont)</v>
      </c>
      <c r="F39" s="304"/>
      <c r="G39" s="519" t="s">
        <v>224</v>
      </c>
      <c r="I39" s="145"/>
      <c r="J39" s="86">
        <f>IF(ISNUMBER(B39),B39,C39)</f>
        <v>0</v>
      </c>
      <c r="K39" s="295" t="s">
        <v>61</v>
      </c>
      <c r="L39" s="143"/>
      <c r="M39" s="223"/>
    </row>
    <row r="40" spans="1:13" s="5" customFormat="1">
      <c r="A40" s="285" t="s">
        <v>38</v>
      </c>
      <c r="B40" s="437"/>
      <c r="C40" s="496">
        <f>J135*J134</f>
        <v>0</v>
      </c>
      <c r="D40" s="289" t="s">
        <v>173</v>
      </c>
      <c r="E40" s="293" t="s">
        <v>184</v>
      </c>
      <c r="F40" s="294"/>
      <c r="G40" s="526" t="s">
        <v>93</v>
      </c>
      <c r="I40" s="145"/>
      <c r="J40" s="86">
        <f>IF(ISNUMBER(B40),B40,C40)</f>
        <v>0</v>
      </c>
      <c r="K40" s="295" t="s">
        <v>61</v>
      </c>
      <c r="L40" s="143"/>
      <c r="M40" s="224" t="s">
        <v>144</v>
      </c>
    </row>
    <row r="41" spans="1:13" s="5" customFormat="1" ht="15.75" customHeight="1">
      <c r="A41" s="31" t="s">
        <v>14</v>
      </c>
      <c r="B41" s="438">
        <v>3631800000</v>
      </c>
      <c r="C41" s="497"/>
      <c r="D41" s="289" t="s">
        <v>173</v>
      </c>
      <c r="E41" s="292" t="s">
        <v>185</v>
      </c>
      <c r="F41" s="46"/>
      <c r="G41" s="521"/>
      <c r="I41" s="145"/>
      <c r="J41" s="85">
        <f>SUM(J26,J35,J38,J39,J40)</f>
        <v>0</v>
      </c>
      <c r="K41" s="295" t="s">
        <v>61</v>
      </c>
      <c r="L41" s="143"/>
      <c r="M41" s="223"/>
    </row>
    <row r="42" spans="1:13">
      <c r="D42" s="275"/>
      <c r="I42"/>
      <c r="J42"/>
      <c r="K42"/>
      <c r="L42"/>
      <c r="M42" s="221"/>
    </row>
    <row r="43" spans="1:13" customFormat="1">
      <c r="A43" s="550" t="s">
        <v>187</v>
      </c>
      <c r="B43" s="551"/>
      <c r="C43" s="551"/>
      <c r="D43" s="551"/>
      <c r="E43" s="551"/>
      <c r="F43" s="551"/>
      <c r="G43" s="552"/>
      <c r="H43" s="317"/>
      <c r="M43" s="221"/>
    </row>
    <row r="44" spans="1:13" customFormat="1">
      <c r="A44" s="353" t="s">
        <v>97</v>
      </c>
      <c r="B44" s="440"/>
      <c r="C44" s="440"/>
      <c r="D44" s="359"/>
      <c r="E44" s="106"/>
      <c r="F44" s="106"/>
      <c r="G44" s="523"/>
      <c r="H44" s="4"/>
      <c r="M44" s="221"/>
    </row>
    <row r="45" spans="1:13" s="5" customFormat="1">
      <c r="A45" s="310" t="s">
        <v>190</v>
      </c>
      <c r="B45" s="436"/>
      <c r="C45" s="498"/>
      <c r="D45" s="360" t="s">
        <v>173</v>
      </c>
      <c r="E45" s="306"/>
      <c r="F45" s="307"/>
      <c r="G45" s="527" t="s">
        <v>219</v>
      </c>
      <c r="I45" s="145"/>
      <c r="J45" s="86">
        <f t="shared" ref="J45:J54" si="3">IF(ISNUMBER(B45),B45,C45)</f>
        <v>0</v>
      </c>
      <c r="K45" s="86"/>
      <c r="L45" s="249" t="str">
        <f>IF(B45="","Req'd")</f>
        <v>Req'd</v>
      </c>
      <c r="M45" s="250" t="s">
        <v>172</v>
      </c>
    </row>
    <row r="46" spans="1:13" s="5" customFormat="1">
      <c r="A46" s="175" t="s">
        <v>189</v>
      </c>
      <c r="B46" s="441"/>
      <c r="C46" s="499">
        <f>J45*D46</f>
        <v>0</v>
      </c>
      <c r="D46" s="282">
        <v>0.15</v>
      </c>
      <c r="E46" s="316" t="s">
        <v>225</v>
      </c>
      <c r="F46" s="112"/>
      <c r="G46" s="519" t="s">
        <v>226</v>
      </c>
      <c r="I46" s="145"/>
      <c r="J46" s="86">
        <f t="shared" si="3"/>
        <v>0</v>
      </c>
      <c r="K46" s="86"/>
      <c r="L46" s="143"/>
      <c r="M46" s="250" t="s">
        <v>172</v>
      </c>
    </row>
    <row r="47" spans="1:13" s="5" customFormat="1">
      <c r="A47" s="310" t="s">
        <v>195</v>
      </c>
      <c r="B47" s="436"/>
      <c r="C47" s="499">
        <f>B41*D47</f>
        <v>54477000</v>
      </c>
      <c r="D47" s="305">
        <v>1.4999999999999999E-2</v>
      </c>
      <c r="E47" s="306" t="str">
        <f>TEXT(D47,"0.000")&amp;" x TCI"</f>
        <v>0.015 x TCI</v>
      </c>
      <c r="F47" s="307"/>
      <c r="G47" s="519" t="s">
        <v>227</v>
      </c>
      <c r="I47" s="145"/>
      <c r="J47" s="86">
        <f>IF(ISNUMBER(B47),B47,C47)</f>
        <v>54477000</v>
      </c>
      <c r="K47" s="86"/>
      <c r="L47" s="143"/>
      <c r="M47" s="223"/>
    </row>
    <row r="48" spans="1:13" s="5" customFormat="1">
      <c r="A48" s="310" t="s">
        <v>196</v>
      </c>
      <c r="B48" s="436"/>
      <c r="C48" s="499">
        <f>J47</f>
        <v>54477000</v>
      </c>
      <c r="D48" s="282" t="s">
        <v>173</v>
      </c>
      <c r="E48" s="316" t="s">
        <v>197</v>
      </c>
      <c r="F48" s="307"/>
      <c r="G48" s="519" t="s">
        <v>228</v>
      </c>
      <c r="I48" s="145"/>
      <c r="J48" s="86">
        <f t="shared" si="3"/>
        <v>54477000</v>
      </c>
      <c r="K48" s="86"/>
      <c r="L48" s="143"/>
      <c r="M48" s="223"/>
    </row>
    <row r="49" spans="1:13">
      <c r="A49" s="175" t="s">
        <v>39</v>
      </c>
      <c r="B49" s="441"/>
      <c r="C49" s="499">
        <f>J134*J138*J119</f>
        <v>210629.39252004377</v>
      </c>
      <c r="D49" s="282" t="s">
        <v>173</v>
      </c>
      <c r="E49" s="286" t="s">
        <v>41</v>
      </c>
      <c r="F49" s="112"/>
      <c r="G49" s="528" t="s">
        <v>93</v>
      </c>
      <c r="H49" s="3"/>
      <c r="I49" s="145"/>
      <c r="J49" s="86">
        <f t="shared" si="3"/>
        <v>210629.39252004377</v>
      </c>
      <c r="K49" s="86"/>
      <c r="L49" s="143"/>
      <c r="M49" s="225" t="s">
        <v>146</v>
      </c>
    </row>
    <row r="50" spans="1:13">
      <c r="A50" s="176" t="s">
        <v>49</v>
      </c>
      <c r="B50" s="441"/>
      <c r="C50" s="499">
        <f>J123*J130*J119</f>
        <v>22308.5664</v>
      </c>
      <c r="D50" s="282" t="s">
        <v>173</v>
      </c>
      <c r="E50" s="287" t="s">
        <v>93</v>
      </c>
      <c r="F50" s="47"/>
      <c r="G50" s="528" t="s">
        <v>93</v>
      </c>
      <c r="H50" s="3"/>
      <c r="I50" s="147"/>
      <c r="J50" s="86">
        <f t="shared" si="3"/>
        <v>22308.5664</v>
      </c>
      <c r="K50" s="86"/>
      <c r="L50" s="143"/>
      <c r="M50" s="225" t="s">
        <v>147</v>
      </c>
    </row>
    <row r="51" spans="1:13">
      <c r="A51" s="175" t="s">
        <v>16</v>
      </c>
      <c r="B51" s="441"/>
      <c r="C51" s="500">
        <f>J150</f>
        <v>58559.310333488516</v>
      </c>
      <c r="D51" s="282" t="s">
        <v>173</v>
      </c>
      <c r="E51" s="286" t="s">
        <v>93</v>
      </c>
      <c r="F51" s="112"/>
      <c r="G51" s="528" t="s">
        <v>93</v>
      </c>
      <c r="H51" s="3"/>
      <c r="I51" s="318"/>
      <c r="J51" s="86">
        <f t="shared" si="3"/>
        <v>58559.310333488516</v>
      </c>
      <c r="K51" s="86"/>
      <c r="L51" s="143"/>
      <c r="M51" s="223"/>
    </row>
    <row r="52" spans="1:13">
      <c r="A52" s="175" t="s">
        <v>229</v>
      </c>
      <c r="B52" s="441"/>
      <c r="C52" s="499">
        <f>J51*D52</f>
        <v>5855.931033348852</v>
      </c>
      <c r="D52" s="282">
        <v>0.1</v>
      </c>
      <c r="E52" s="306" t="str">
        <f>TEXT(D52,"0.000")&amp;" x Cat Repl"</f>
        <v>0.100 x Cat Repl</v>
      </c>
      <c r="F52" s="112"/>
      <c r="G52" s="528" t="s">
        <v>230</v>
      </c>
      <c r="H52" s="3"/>
      <c r="I52" s="318"/>
      <c r="J52" s="86">
        <f t="shared" si="3"/>
        <v>5855.931033348852</v>
      </c>
      <c r="K52" s="86"/>
      <c r="L52" s="361"/>
      <c r="M52" s="362"/>
    </row>
    <row r="53" spans="1:13">
      <c r="A53" s="175" t="s">
        <v>199</v>
      </c>
      <c r="B53" s="441"/>
      <c r="C53" s="501"/>
      <c r="D53" s="282" t="s">
        <v>173</v>
      </c>
      <c r="E53" s="286"/>
      <c r="F53" s="112"/>
      <c r="G53" s="519" t="s">
        <v>219</v>
      </c>
      <c r="H53" s="5"/>
      <c r="I53" s="145"/>
      <c r="J53" s="86">
        <f t="shared" si="3"/>
        <v>0</v>
      </c>
      <c r="K53" s="86"/>
      <c r="L53" s="249" t="str">
        <f>IF(B53="","Req'd")</f>
        <v>Req'd</v>
      </c>
      <c r="M53" s="250" t="s">
        <v>172</v>
      </c>
    </row>
    <row r="54" spans="1:13">
      <c r="A54" s="174" t="s">
        <v>198</v>
      </c>
      <c r="B54" s="442"/>
      <c r="C54" s="502"/>
      <c r="D54" s="290" t="s">
        <v>173</v>
      </c>
      <c r="E54" s="288"/>
      <c r="F54" s="114"/>
      <c r="G54" s="529" t="s">
        <v>219</v>
      </c>
      <c r="H54" s="5"/>
      <c r="I54" s="145"/>
      <c r="J54" s="86">
        <f t="shared" si="3"/>
        <v>0</v>
      </c>
      <c r="K54" s="86"/>
      <c r="L54" s="249" t="str">
        <f>IF(B54="","Req'd")</f>
        <v>Req'd</v>
      </c>
      <c r="M54" s="250" t="s">
        <v>172</v>
      </c>
    </row>
    <row r="55" spans="1:13">
      <c r="A55" s="31" t="s">
        <v>17</v>
      </c>
      <c r="B55" s="438">
        <f>J55</f>
        <v>109251353.20028688</v>
      </c>
      <c r="C55" s="503"/>
      <c r="D55" s="289" t="s">
        <v>173</v>
      </c>
      <c r="E55" s="83" t="s">
        <v>29</v>
      </c>
      <c r="F55" s="42"/>
      <c r="G55" s="521"/>
      <c r="H55" s="3"/>
      <c r="I55" s="145"/>
      <c r="J55" s="85">
        <f>SUM(J45:J54)</f>
        <v>109251353.20028688</v>
      </c>
      <c r="K55" s="85"/>
      <c r="L55" s="143"/>
      <c r="M55" s="223"/>
    </row>
    <row r="56" spans="1:13">
      <c r="A56" s="29"/>
      <c r="B56" s="443"/>
      <c r="C56" s="443"/>
      <c r="D56" s="311"/>
      <c r="E56" s="312"/>
      <c r="F56" s="313"/>
      <c r="H56" s="3"/>
      <c r="I56" s="314"/>
      <c r="J56" s="232"/>
      <c r="K56" s="232"/>
      <c r="L56" s="18"/>
      <c r="M56" s="315"/>
    </row>
    <row r="57" spans="1:13" customFormat="1">
      <c r="A57" s="550" t="s">
        <v>19</v>
      </c>
      <c r="B57" s="551"/>
      <c r="C57" s="551"/>
      <c r="D57" s="551"/>
      <c r="E57" s="551"/>
      <c r="F57" s="551"/>
      <c r="G57" s="552"/>
      <c r="H57" s="4"/>
      <c r="M57" s="221"/>
    </row>
    <row r="58" spans="1:13" customFormat="1">
      <c r="A58" s="353" t="s">
        <v>231</v>
      </c>
      <c r="B58" s="440"/>
      <c r="C58" s="440"/>
      <c r="D58" s="359"/>
      <c r="E58" s="106"/>
      <c r="F58" s="106"/>
      <c r="G58" s="523"/>
      <c r="H58" s="4"/>
      <c r="M58" s="221"/>
    </row>
    <row r="59" spans="1:13" s="5" customFormat="1">
      <c r="A59" s="310" t="s">
        <v>191</v>
      </c>
      <c r="B59" s="444"/>
      <c r="C59" s="499">
        <f>SUM(J45:J48)*D59</f>
        <v>65372400</v>
      </c>
      <c r="D59" s="305">
        <v>0.6</v>
      </c>
      <c r="E59" s="306" t="str">
        <f>TEXT(D59,"0.000")&amp;" x Op/Super/Maint Labor &amp; Mtls"</f>
        <v>0.600 x Op/Super/Maint Labor &amp; Mtls</v>
      </c>
      <c r="F59" s="307"/>
      <c r="G59" s="525" t="s">
        <v>232</v>
      </c>
      <c r="I59" s="145"/>
      <c r="J59" s="86">
        <f>IF(ISNUMBER(B59),B59,C59)</f>
        <v>65372400</v>
      </c>
      <c r="K59" s="86"/>
      <c r="L59" s="143"/>
      <c r="M59" s="223"/>
    </row>
    <row r="60" spans="1:13" s="5" customFormat="1">
      <c r="A60" s="175" t="s">
        <v>192</v>
      </c>
      <c r="B60" s="445"/>
      <c r="C60" s="499">
        <f>B41*D60</f>
        <v>36318000</v>
      </c>
      <c r="D60" s="305">
        <v>0.01</v>
      </c>
      <c r="E60" s="306" t="str">
        <f>TEXT(D60,"0.0000")&amp;" x TCI"</f>
        <v>0.0100 x TCI</v>
      </c>
      <c r="F60" s="307"/>
      <c r="G60" s="519" t="s">
        <v>233</v>
      </c>
      <c r="H60" s="363"/>
      <c r="I60" s="145"/>
      <c r="J60" s="86">
        <f>IF(ISNUMBER(B60),B60,C60)</f>
        <v>36318000</v>
      </c>
      <c r="K60" s="86"/>
      <c r="L60" s="143"/>
      <c r="M60" s="223"/>
    </row>
    <row r="61" spans="1:13" s="5" customFormat="1">
      <c r="A61" s="310" t="s">
        <v>193</v>
      </c>
      <c r="B61" s="446"/>
      <c r="C61" s="499">
        <f>B41*D61</f>
        <v>36318000</v>
      </c>
      <c r="D61" s="305">
        <v>0.01</v>
      </c>
      <c r="E61" s="306" t="str">
        <f>TEXT(D61,"0.000")&amp;" x TCI"</f>
        <v>0.010 x TCI</v>
      </c>
      <c r="F61" s="307"/>
      <c r="G61" s="519" t="s">
        <v>233</v>
      </c>
      <c r="I61" s="145"/>
      <c r="J61" s="86">
        <f>IF(ISNUMBER(B61),B61,C61)</f>
        <v>36318000</v>
      </c>
      <c r="K61" s="86"/>
      <c r="L61" s="143"/>
      <c r="M61" s="223"/>
    </row>
    <row r="62" spans="1:13">
      <c r="A62" s="134" t="s">
        <v>194</v>
      </c>
      <c r="B62" s="447"/>
      <c r="C62" s="504">
        <f>B41*D62</f>
        <v>72636000</v>
      </c>
      <c r="D62" s="322">
        <v>0.02</v>
      </c>
      <c r="E62" s="288" t="str">
        <f>TEXT(D62,"0.000")&amp;" x TCI"</f>
        <v>0.020 x TCI</v>
      </c>
      <c r="F62" s="114"/>
      <c r="G62" s="529" t="s">
        <v>234</v>
      </c>
      <c r="H62" s="5"/>
      <c r="I62" s="145"/>
      <c r="J62" s="86">
        <f>IF(ISNUMBER(B62),B62,C62)</f>
        <v>72636000</v>
      </c>
      <c r="K62" s="86"/>
      <c r="L62" s="143"/>
      <c r="M62" s="223"/>
    </row>
    <row r="63" spans="1:13">
      <c r="A63" s="31" t="s">
        <v>215</v>
      </c>
      <c r="B63" s="438">
        <f>J63</f>
        <v>210644400</v>
      </c>
      <c r="C63" s="503"/>
      <c r="D63" s="289" t="s">
        <v>173</v>
      </c>
      <c r="E63" s="83" t="s">
        <v>29</v>
      </c>
      <c r="F63" s="42"/>
      <c r="G63" s="521"/>
      <c r="H63" s="3"/>
      <c r="I63" s="145"/>
      <c r="J63" s="85">
        <f>SUM(J59:J62)</f>
        <v>210644400</v>
      </c>
      <c r="K63" s="85"/>
      <c r="L63" s="143"/>
      <c r="M63" s="223"/>
    </row>
    <row r="64" spans="1:13">
      <c r="A64" s="29"/>
      <c r="B64" s="443"/>
      <c r="C64" s="443"/>
      <c r="D64" s="311"/>
      <c r="E64" s="312"/>
      <c r="F64" s="313"/>
      <c r="H64" s="3"/>
      <c r="I64" s="314"/>
      <c r="J64" s="232"/>
      <c r="K64" s="232"/>
      <c r="L64" s="18"/>
      <c r="M64" s="315"/>
    </row>
    <row r="65" spans="1:13">
      <c r="A65" s="550" t="s">
        <v>200</v>
      </c>
      <c r="B65" s="551"/>
      <c r="C65" s="551"/>
      <c r="D65" s="551"/>
      <c r="E65" s="551"/>
      <c r="F65" s="551"/>
      <c r="G65" s="552"/>
      <c r="H65" s="343"/>
      <c r="I65"/>
      <c r="J65"/>
      <c r="K65"/>
      <c r="L65"/>
      <c r="M65" s="221"/>
    </row>
    <row r="66" spans="1:13">
      <c r="A66" s="56" t="s">
        <v>26</v>
      </c>
      <c r="B66" s="448"/>
      <c r="C66" s="505">
        <v>25</v>
      </c>
      <c r="D66" s="281" t="s">
        <v>173</v>
      </c>
      <c r="E66" s="109" t="s">
        <v>27</v>
      </c>
      <c r="F66" s="110"/>
      <c r="G66" s="530" t="s">
        <v>219</v>
      </c>
      <c r="H66" s="343"/>
      <c r="I66" s="146"/>
      <c r="J66" s="78">
        <f>IF(ISNUMBER(B66),B66,C66)</f>
        <v>25</v>
      </c>
      <c r="K66" s="301" t="s">
        <v>37</v>
      </c>
      <c r="L66" s="149" t="b">
        <v>0</v>
      </c>
      <c r="M66" s="222"/>
    </row>
    <row r="67" spans="1:13" ht="45">
      <c r="A67" s="54" t="s">
        <v>4</v>
      </c>
      <c r="B67" s="449">
        <v>3.2500000000000001E-2</v>
      </c>
      <c r="C67" s="506">
        <v>7.0000000000000007E-2</v>
      </c>
      <c r="D67" s="282" t="s">
        <v>173</v>
      </c>
      <c r="E67" s="111" t="s">
        <v>28</v>
      </c>
      <c r="F67" s="112"/>
      <c r="G67" s="519" t="s">
        <v>235</v>
      </c>
      <c r="H67" s="343"/>
      <c r="I67" s="146"/>
      <c r="J67" s="78">
        <f>IF(ISNUMBER(B67),B67,C67)</f>
        <v>3.2500000000000001E-2</v>
      </c>
      <c r="K67" s="301" t="s">
        <v>23</v>
      </c>
      <c r="L67" s="149" t="b">
        <v>0</v>
      </c>
      <c r="M67" s="222"/>
    </row>
    <row r="68" spans="1:13" ht="15" customHeight="1">
      <c r="A68" s="55" t="s">
        <v>18</v>
      </c>
      <c r="B68" s="450">
        <f>J67/(1-(1+J67)^-J66)</f>
        <v>5.9039325274868763E-2</v>
      </c>
      <c r="C68" s="507"/>
      <c r="D68" s="280" t="s">
        <v>173</v>
      </c>
      <c r="E68" s="113" t="s">
        <v>100</v>
      </c>
      <c r="F68" s="114"/>
      <c r="G68" s="526" t="s">
        <v>173</v>
      </c>
      <c r="I68" s="146"/>
      <c r="J68" s="67"/>
      <c r="K68" s="67"/>
      <c r="L68" s="144"/>
      <c r="M68" s="226"/>
    </row>
    <row r="69" spans="1:13">
      <c r="A69" s="30" t="s">
        <v>202</v>
      </c>
      <c r="B69" s="451">
        <f>B68*B41</f>
        <v>214419021.53326836</v>
      </c>
      <c r="C69" s="508"/>
      <c r="D69" s="289" t="s">
        <v>173</v>
      </c>
      <c r="E69" s="79"/>
      <c r="F69" s="48"/>
      <c r="G69" s="521" t="s">
        <v>236</v>
      </c>
      <c r="H69" s="3"/>
      <c r="I69" s="145"/>
      <c r="J69" s="85">
        <f>IF(ISNUMBER(B69),B69,C69)</f>
        <v>214419021.53326836</v>
      </c>
      <c r="K69" s="85"/>
      <c r="L69" s="143"/>
      <c r="M69" s="224" t="s">
        <v>145</v>
      </c>
    </row>
    <row r="70" spans="1:13" customFormat="1">
      <c r="B70" s="419"/>
      <c r="C70" s="419"/>
      <c r="D70" s="278"/>
      <c r="G70" s="374"/>
      <c r="H70" s="343"/>
      <c r="M70" s="221"/>
    </row>
    <row r="71" spans="1:13" s="5" customFormat="1">
      <c r="A71" s="30" t="s">
        <v>21</v>
      </c>
      <c r="B71" s="451">
        <f>SUM(B55,B63, B69)</f>
        <v>534314774.7335552</v>
      </c>
      <c r="C71" s="508"/>
      <c r="D71" s="279" t="s">
        <v>173</v>
      </c>
      <c r="E71" s="150" t="s">
        <v>201</v>
      </c>
      <c r="F71" s="49"/>
      <c r="G71" s="521" t="s">
        <v>237</v>
      </c>
      <c r="I71" s="145"/>
      <c r="J71" s="87">
        <f>SUM(J55,J63, J69)</f>
        <v>534314774.7335552</v>
      </c>
      <c r="K71" s="87" t="s">
        <v>82</v>
      </c>
      <c r="L71" s="143"/>
      <c r="M71" s="224" t="s">
        <v>148</v>
      </c>
    </row>
    <row r="72" spans="1:13" s="5" customFormat="1">
      <c r="A72" s="19"/>
      <c r="B72" s="452"/>
      <c r="C72" s="509"/>
      <c r="D72" s="23"/>
      <c r="E72" s="22"/>
      <c r="F72" s="13"/>
      <c r="G72" s="374"/>
      <c r="H72" s="15"/>
      <c r="I72" s="10"/>
      <c r="J72" s="22"/>
      <c r="K72" s="22"/>
      <c r="L72" s="10"/>
      <c r="M72" s="10"/>
    </row>
    <row r="73" spans="1:13" customFormat="1" ht="16.5" thickBot="1">
      <c r="A73" s="6" t="s">
        <v>106</v>
      </c>
      <c r="B73" s="420"/>
      <c r="C73" s="420"/>
      <c r="D73" s="7"/>
      <c r="E73" s="7"/>
      <c r="F73" s="7"/>
      <c r="G73" s="531"/>
      <c r="H73" s="343"/>
    </row>
    <row r="74" spans="1:13" s="8" customFormat="1" ht="15.75" thickTop="1">
      <c r="A74" s="29"/>
      <c r="B74" s="453"/>
      <c r="C74" s="510"/>
      <c r="D74" s="25"/>
      <c r="E74" s="25"/>
      <c r="F74" s="25"/>
      <c r="G74" s="376" t="s">
        <v>218</v>
      </c>
      <c r="H74" s="343"/>
      <c r="I74"/>
      <c r="J74"/>
      <c r="K74"/>
      <c r="L74"/>
      <c r="M74"/>
    </row>
    <row r="75" spans="1:13" s="5" customFormat="1">
      <c r="A75" s="51" t="s">
        <v>293</v>
      </c>
      <c r="B75" s="454">
        <v>4212870.43</v>
      </c>
      <c r="C75" s="454">
        <f>$J$93*$J$98*$J$119/2000+IF(J94&gt;0,$J$94*$J$103*$J$119/2000)</f>
        <v>0</v>
      </c>
      <c r="D75" s="15"/>
      <c r="F75"/>
      <c r="G75" s="377" t="s">
        <v>238</v>
      </c>
      <c r="H75" s="343"/>
      <c r="I75" s="145"/>
      <c r="J75" s="87"/>
      <c r="K75" s="87"/>
      <c r="L75" s="143"/>
      <c r="M75" s="224"/>
    </row>
    <row r="76" spans="1:13" s="5" customFormat="1">
      <c r="A76" s="32" t="s">
        <v>294</v>
      </c>
      <c r="B76" s="454">
        <f>B75*(1-0.9)</f>
        <v>421287.04299999989</v>
      </c>
      <c r="C76" s="455">
        <f>SUM($J$93:$J$94)*J108*$J$119/2000</f>
        <v>0</v>
      </c>
      <c r="D76" s="15"/>
      <c r="F76" s="14"/>
      <c r="G76" s="377" t="s">
        <v>238</v>
      </c>
      <c r="H76" s="15"/>
      <c r="I76" s="145"/>
      <c r="J76" s="87"/>
      <c r="K76" s="87"/>
      <c r="L76" s="143"/>
      <c r="M76" s="224"/>
    </row>
    <row r="77" spans="1:13" s="5" customFormat="1">
      <c r="A77" s="152" t="s">
        <v>295</v>
      </c>
      <c r="B77" s="456">
        <f>B75-B76</f>
        <v>3791583.3869999996</v>
      </c>
      <c r="C77" s="511"/>
      <c r="D77" s="15"/>
      <c r="F77"/>
      <c r="G77" s="377" t="s">
        <v>238</v>
      </c>
      <c r="H77" s="343"/>
      <c r="I77" s="145"/>
      <c r="J77" s="87"/>
      <c r="K77" s="87"/>
      <c r="L77" s="143"/>
      <c r="M77" s="224"/>
    </row>
    <row r="78" spans="1:13" s="5" customFormat="1">
      <c r="A78" s="24"/>
      <c r="B78" s="457"/>
      <c r="C78" s="511"/>
      <c r="D78" s="15"/>
      <c r="F78"/>
      <c r="G78" s="374"/>
      <c r="H78" s="343"/>
      <c r="I78" s="10"/>
      <c r="J78"/>
      <c r="K78"/>
      <c r="L78" s="10"/>
      <c r="M78" s="10"/>
    </row>
    <row r="79" spans="1:13" s="5" customFormat="1">
      <c r="A79" s="53" t="s">
        <v>21</v>
      </c>
      <c r="B79" s="458">
        <f>B71</f>
        <v>534314774.7335552</v>
      </c>
      <c r="C79" s="511"/>
      <c r="D79" s="15"/>
      <c r="F79"/>
      <c r="G79" s="377" t="s">
        <v>239</v>
      </c>
      <c r="H79" s="343"/>
      <c r="I79" s="145"/>
      <c r="J79" s="87"/>
      <c r="K79" s="87"/>
      <c r="L79" s="143"/>
      <c r="M79" s="224"/>
    </row>
    <row r="80" spans="1:13" s="5" customFormat="1">
      <c r="A80" s="364" t="s">
        <v>104</v>
      </c>
      <c r="B80" s="535">
        <f>IF(B77=0,"",B79/B77)</f>
        <v>140.92127752366778</v>
      </c>
      <c r="C80" s="419"/>
      <c r="D80"/>
      <c r="G80" s="377" t="s">
        <v>240</v>
      </c>
      <c r="H80" s="9"/>
      <c r="I80" s="145"/>
      <c r="J80" s="87"/>
      <c r="K80" s="87"/>
      <c r="L80" s="143"/>
      <c r="M80" s="224"/>
    </row>
    <row r="81" spans="1:13" s="5" customFormat="1" hidden="1">
      <c r="A81" s="308" t="s">
        <v>186</v>
      </c>
      <c r="B81" s="459"/>
      <c r="C81" s="463"/>
      <c r="D81" s="13"/>
      <c r="F81" s="13"/>
      <c r="G81" s="374"/>
      <c r="H81" s="15"/>
      <c r="I81" s="145"/>
      <c r="J81" s="87"/>
      <c r="K81" s="87"/>
      <c r="L81" s="169" t="str">
        <f>IF(B81="","Req'd")</f>
        <v>Req'd</v>
      </c>
      <c r="M81" s="224"/>
    </row>
    <row r="82" spans="1:13" s="5" customFormat="1" ht="15.75" hidden="1" thickBot="1">
      <c r="A82" s="21"/>
      <c r="B82" s="460"/>
      <c r="C82" s="463"/>
      <c r="D82" s="13"/>
      <c r="F82" s="13"/>
      <c r="G82" s="374"/>
      <c r="H82" s="15"/>
      <c r="I82" s="10"/>
      <c r="J82" s="22"/>
      <c r="K82" s="22"/>
      <c r="L82" s="10"/>
      <c r="M82" s="10"/>
    </row>
    <row r="83" spans="1:13" s="5" customFormat="1" hidden="1">
      <c r="A83" s="168" t="s">
        <v>110</v>
      </c>
      <c r="B83" s="461"/>
      <c r="C83" s="512"/>
      <c r="D83" s="161"/>
      <c r="E83" s="162"/>
      <c r="F83" s="163"/>
      <c r="G83" s="374"/>
      <c r="H83" s="15"/>
      <c r="I83" s="10"/>
      <c r="J83" s="22"/>
      <c r="K83" s="22"/>
      <c r="L83" s="10"/>
      <c r="M83" s="10"/>
    </row>
    <row r="84" spans="1:13" s="5" customFormat="1" ht="15.75" hidden="1" thickBot="1">
      <c r="A84" s="164" t="str">
        <f>IF(B80="","TBD",IF(B80&gt;B81,"Project costs exceed BACT cost effectiveness threshold and may not be considered cost effective.","Project may be considered cost effective."))</f>
        <v>Project costs exceed BACT cost effectiveness threshold and may not be considered cost effective.</v>
      </c>
      <c r="B84" s="462"/>
      <c r="C84" s="513"/>
      <c r="D84" s="166"/>
      <c r="E84" s="166"/>
      <c r="F84" s="167"/>
      <c r="G84" s="374"/>
      <c r="H84" s="15"/>
      <c r="I84" s="10"/>
      <c r="J84" s="22"/>
      <c r="K84" s="22"/>
      <c r="L84" s="10"/>
      <c r="M84" s="10"/>
    </row>
    <row r="85" spans="1:13" s="5" customFormat="1">
      <c r="A85" s="19"/>
      <c r="B85" s="463"/>
      <c r="C85" s="452"/>
      <c r="D85" s="22"/>
      <c r="E85" s="22"/>
      <c r="F85" s="13"/>
      <c r="G85" s="374"/>
      <c r="H85" s="15"/>
      <c r="I85" s="10"/>
      <c r="J85" s="22"/>
      <c r="K85" s="22"/>
      <c r="L85" s="10"/>
      <c r="M85" s="10"/>
    </row>
    <row r="86" spans="1:13" customFormat="1" ht="16.5" thickBot="1">
      <c r="A86" s="6" t="s">
        <v>107</v>
      </c>
      <c r="B86" s="420"/>
      <c r="C86" s="420"/>
      <c r="D86" s="7"/>
      <c r="E86" s="7"/>
      <c r="F86" s="7"/>
      <c r="G86" s="532"/>
      <c r="H86" s="343"/>
    </row>
    <row r="87" spans="1:13" ht="15.75" thickTop="1">
      <c r="H87" s="343"/>
      <c r="J87" s="3"/>
      <c r="K87" s="3"/>
      <c r="M87"/>
    </row>
    <row r="88" spans="1:13">
      <c r="A88" s="3" t="s">
        <v>86</v>
      </c>
      <c r="H88" s="343"/>
      <c r="I88"/>
      <c r="J88"/>
      <c r="K88"/>
      <c r="L88"/>
      <c r="M88"/>
    </row>
    <row r="89" spans="1:13">
      <c r="A89" s="3" t="s">
        <v>85</v>
      </c>
      <c r="H89" s="343"/>
      <c r="I89"/>
      <c r="J89"/>
      <c r="K89"/>
      <c r="L89"/>
      <c r="M89"/>
    </row>
    <row r="90" spans="1:13" ht="8.25" customHeight="1">
      <c r="H90" s="343"/>
      <c r="I90"/>
      <c r="J90"/>
      <c r="K90"/>
      <c r="L90"/>
      <c r="M90"/>
    </row>
    <row r="91" spans="1:13">
      <c r="A91" s="99" t="s">
        <v>88</v>
      </c>
      <c r="B91" s="464"/>
      <c r="C91" s="464"/>
      <c r="D91" s="98"/>
      <c r="E91" s="98"/>
      <c r="F91" s="98"/>
      <c r="G91" s="375"/>
      <c r="H91" s="343"/>
      <c r="I91" s="63" t="s">
        <v>25</v>
      </c>
      <c r="J91" s="64" t="s">
        <v>31</v>
      </c>
      <c r="K91" s="212" t="s">
        <v>34</v>
      </c>
      <c r="L91" s="64" t="s">
        <v>59</v>
      </c>
      <c r="M91" s="65" t="s">
        <v>32</v>
      </c>
    </row>
    <row r="92" spans="1:13">
      <c r="A92" s="101"/>
      <c r="B92" s="465"/>
      <c r="C92" s="465"/>
      <c r="D92" s="59"/>
      <c r="E92" s="59"/>
      <c r="F92" s="59"/>
      <c r="G92" s="376" t="s">
        <v>218</v>
      </c>
      <c r="H92" s="343"/>
      <c r="I92" s="63"/>
      <c r="J92" s="64"/>
      <c r="K92" s="212"/>
      <c r="L92" s="64"/>
      <c r="M92" s="218"/>
    </row>
    <row r="93" spans="1:13">
      <c r="A93" s="3" t="s">
        <v>63</v>
      </c>
      <c r="B93" s="466"/>
      <c r="C93" s="514" t="s">
        <v>0</v>
      </c>
      <c r="D93" s="60"/>
      <c r="G93" s="365"/>
      <c r="H93" s="343"/>
      <c r="I93" s="75"/>
      <c r="J93" s="67">
        <f>B93</f>
        <v>0</v>
      </c>
      <c r="K93" s="204" t="s">
        <v>0</v>
      </c>
      <c r="L93" s="206" t="str">
        <f>IF(B93="","Req'd")</f>
        <v>Req'd</v>
      </c>
      <c r="M93" s="219"/>
    </row>
    <row r="94" spans="1:13">
      <c r="A94" s="3" t="s">
        <v>64</v>
      </c>
      <c r="B94" s="467"/>
      <c r="C94" s="514" t="s">
        <v>0</v>
      </c>
      <c r="D94" s="60"/>
      <c r="G94" s="377"/>
      <c r="H94" s="343"/>
      <c r="I94" s="75"/>
      <c r="J94" s="67">
        <f>B94</f>
        <v>0</v>
      </c>
      <c r="K94" s="204" t="s">
        <v>0</v>
      </c>
      <c r="L94" s="206" t="b">
        <v>0</v>
      </c>
      <c r="M94" s="219"/>
    </row>
    <row r="95" spans="1:13" s="8" customFormat="1" ht="8.25" customHeight="1">
      <c r="B95" s="465"/>
      <c r="C95" s="465"/>
      <c r="D95" s="59"/>
      <c r="E95" s="59"/>
      <c r="F95" s="59"/>
      <c r="G95" s="374"/>
      <c r="H95" s="231"/>
      <c r="I95" s="100"/>
      <c r="J95" s="100"/>
      <c r="K95" s="100"/>
      <c r="L95" s="202"/>
      <c r="M95" s="220"/>
    </row>
    <row r="96" spans="1:13">
      <c r="A96" s="99" t="s">
        <v>87</v>
      </c>
      <c r="B96" s="464"/>
      <c r="C96" s="464"/>
      <c r="D96" s="98"/>
      <c r="E96" s="98"/>
      <c r="F96" s="98"/>
      <c r="G96" s="375"/>
      <c r="H96" s="343"/>
      <c r="I96"/>
      <c r="J96"/>
      <c r="K96"/>
      <c r="L96" s="1"/>
      <c r="M96" s="221"/>
    </row>
    <row r="97" spans="1:13">
      <c r="A97" s="101"/>
      <c r="B97" s="465"/>
      <c r="C97" s="465"/>
      <c r="D97" s="59"/>
      <c r="E97" s="59"/>
      <c r="F97" s="59"/>
      <c r="G97" s="376" t="s">
        <v>218</v>
      </c>
      <c r="H97" s="343"/>
      <c r="I97"/>
      <c r="J97"/>
      <c r="K97"/>
      <c r="L97" s="1"/>
      <c r="M97" s="221"/>
    </row>
    <row r="98" spans="1:13">
      <c r="A98" s="3" t="s">
        <v>65</v>
      </c>
      <c r="B98" s="467"/>
      <c r="C98" s="514" t="s">
        <v>51</v>
      </c>
      <c r="D98" s="60"/>
      <c r="G98" s="377"/>
      <c r="H98" s="343"/>
      <c r="I98" s="72">
        <f>B98</f>
        <v>0</v>
      </c>
      <c r="J98" s="71">
        <f>IF(ISNUMBER(B98),I98,IF(ISNUMBER(B99),I99,IF(ISNUMBER(B100),I100,I101)))</f>
        <v>0</v>
      </c>
      <c r="K98" s="204" t="s">
        <v>3</v>
      </c>
      <c r="L98" s="206" t="b">
        <f>IF(OR(B99&lt;&gt;"",B100&lt;&gt;""),"N/A")</f>
        <v>0</v>
      </c>
      <c r="M98" s="219"/>
    </row>
    <row r="99" spans="1:13">
      <c r="A99" s="58" t="s">
        <v>50</v>
      </c>
      <c r="B99" s="467"/>
      <c r="C99" s="514" t="s">
        <v>52</v>
      </c>
      <c r="D99" s="60"/>
      <c r="G99" s="377"/>
      <c r="H99" s="343"/>
      <c r="I99" s="72">
        <f>B99/$J$114</f>
        <v>0</v>
      </c>
      <c r="J99" s="76"/>
      <c r="K99" s="211"/>
      <c r="L99" s="206" t="b">
        <f>IF(OR(B98&lt;&gt;"",B100&lt;&gt;""),"N/A")</f>
        <v>0</v>
      </c>
      <c r="M99" s="219"/>
    </row>
    <row r="100" spans="1:13">
      <c r="A100" s="58" t="s">
        <v>50</v>
      </c>
      <c r="B100" s="467"/>
      <c r="C100" s="514" t="s">
        <v>53</v>
      </c>
      <c r="D100" s="60"/>
      <c r="G100" s="377" t="s">
        <v>241</v>
      </c>
      <c r="H100" s="343"/>
      <c r="I100" s="72">
        <f>B100*1.194*10^-7*J$115*(20.946/(20.946-15))</f>
        <v>0</v>
      </c>
      <c r="J100" s="76"/>
      <c r="K100" s="211"/>
      <c r="L100" s="206" t="b">
        <f>IF(OR(B98&lt;&gt;"",B99&lt;&gt;""),"N/A")</f>
        <v>0</v>
      </c>
      <c r="M100" s="219"/>
    </row>
    <row r="101" spans="1:13">
      <c r="A101" s="58" t="s">
        <v>135</v>
      </c>
      <c r="B101" s="468"/>
      <c r="C101" s="514" t="s">
        <v>53</v>
      </c>
      <c r="D101" s="60"/>
      <c r="G101" s="377"/>
      <c r="H101" s="343"/>
      <c r="I101" s="72">
        <f>B101*1.194*10^-7*J$115*(20.946/(20.946-15))</f>
        <v>0</v>
      </c>
      <c r="J101" s="76"/>
      <c r="K101" s="211"/>
      <c r="L101" s="206" t="b">
        <f>IF(COUNTA(B98:B100)&gt;0,"N/A")</f>
        <v>0</v>
      </c>
      <c r="M101" s="219"/>
    </row>
    <row r="102" spans="1:13">
      <c r="H102" s="343"/>
      <c r="I102"/>
      <c r="J102"/>
      <c r="K102"/>
      <c r="L102" s="1"/>
      <c r="M102" s="221"/>
    </row>
    <row r="103" spans="1:13">
      <c r="A103" s="3" t="s">
        <v>66</v>
      </c>
      <c r="B103" s="467"/>
      <c r="C103" s="514" t="s">
        <v>51</v>
      </c>
      <c r="D103" s="60"/>
      <c r="G103" s="377"/>
      <c r="H103" s="343"/>
      <c r="I103" s="72">
        <f>B103</f>
        <v>0</v>
      </c>
      <c r="J103" s="71">
        <f>IF(ISNUMBER(B103),I103,IF(ISNUMBER(B104),I104,IF(ISNUMBER(B105),I105,I106)))</f>
        <v>0</v>
      </c>
      <c r="K103" s="204" t="s">
        <v>3</v>
      </c>
      <c r="L103" s="206" t="str">
        <f>IF($J$94=0,"N/A",IF(OR(B104&lt;&gt;"",B105&lt;&gt;""),"N/A"))</f>
        <v>N/A</v>
      </c>
      <c r="M103" s="219"/>
    </row>
    <row r="104" spans="1:13">
      <c r="A104" s="58" t="s">
        <v>50</v>
      </c>
      <c r="B104" s="467"/>
      <c r="C104" s="514" t="s">
        <v>52</v>
      </c>
      <c r="D104" s="60"/>
      <c r="G104" s="377"/>
      <c r="H104" s="343"/>
      <c r="I104" s="72">
        <f>B104/$J$114</f>
        <v>0</v>
      </c>
      <c r="J104" s="76"/>
      <c r="K104" s="211"/>
      <c r="L104" s="206" t="str">
        <f>IF($J$94=0,"N/A",IF(OR(B103&lt;&gt;"",B105&lt;&gt;""),"N/A"))</f>
        <v>N/A</v>
      </c>
      <c r="M104" s="219"/>
    </row>
    <row r="105" spans="1:13">
      <c r="A105" s="58" t="s">
        <v>50</v>
      </c>
      <c r="B105" s="467"/>
      <c r="C105" s="514" t="s">
        <v>54</v>
      </c>
      <c r="D105" s="60"/>
      <c r="G105" s="377"/>
      <c r="H105" s="343"/>
      <c r="I105" s="72">
        <f>B105*1.194*10^-7*J$115*(20.946/(20.946-3))</f>
        <v>0</v>
      </c>
      <c r="J105" s="76"/>
      <c r="K105" s="211"/>
      <c r="L105" s="206" t="str">
        <f>IF($J$94=0,"N/A",IF(OR(B103&lt;&gt;"",B104&lt;&gt;""),"N/A"))</f>
        <v>N/A</v>
      </c>
      <c r="M105" s="219"/>
    </row>
    <row r="106" spans="1:13">
      <c r="A106" s="58" t="s">
        <v>135</v>
      </c>
      <c r="B106" s="468"/>
      <c r="C106" s="514" t="s">
        <v>54</v>
      </c>
      <c r="D106" s="60"/>
      <c r="G106" s="377"/>
      <c r="H106" s="343"/>
      <c r="I106" s="72">
        <f>B106*1.194*10^-7*J$115*(20.946/(20.946-3))</f>
        <v>0</v>
      </c>
      <c r="J106" s="76"/>
      <c r="K106" s="211"/>
      <c r="L106" s="206" t="str">
        <f>IF($J$94=0,"N/A",IF(COUNTA(B103:B105)&gt;0,"N/A"))</f>
        <v>N/A</v>
      </c>
      <c r="M106" s="219"/>
    </row>
    <row r="107" spans="1:13">
      <c r="H107" s="343"/>
      <c r="I107"/>
      <c r="J107"/>
      <c r="K107"/>
      <c r="L107" s="1"/>
      <c r="M107" s="221"/>
    </row>
    <row r="108" spans="1:13">
      <c r="A108" s="3" t="s">
        <v>67</v>
      </c>
      <c r="B108" s="467"/>
      <c r="C108" s="514" t="s">
        <v>51</v>
      </c>
      <c r="D108" s="60"/>
      <c r="G108" s="377"/>
      <c r="H108" s="343"/>
      <c r="I108" s="72">
        <f>B108</f>
        <v>0</v>
      </c>
      <c r="J108" s="71">
        <f>IF(ISNUMBER(B108),I108,IF(ISNUMBER(B109),I109,I110))</f>
        <v>0</v>
      </c>
      <c r="K108" s="204" t="s">
        <v>3</v>
      </c>
      <c r="L108" s="206" t="str">
        <f>IF(COUNTA(B108:B110)=0,"Req'd",IF(OR(B109&lt;&gt;"",B110&lt;&gt;""),"N/A"))</f>
        <v>Req'd</v>
      </c>
      <c r="M108" s="219"/>
    </row>
    <row r="109" spans="1:13">
      <c r="A109" s="58" t="s">
        <v>50</v>
      </c>
      <c r="B109" s="467"/>
      <c r="C109" s="514" t="s">
        <v>52</v>
      </c>
      <c r="D109" s="60"/>
      <c r="G109" s="377"/>
      <c r="H109" s="343"/>
      <c r="I109" s="72">
        <f>B109/$J$114</f>
        <v>0</v>
      </c>
      <c r="J109" s="76"/>
      <c r="K109" s="211"/>
      <c r="L109" s="206" t="str">
        <f>IF(COUNTA(B108:B110)=0,"Req'd",IF(OR(B108&lt;&gt;"",B110&lt;&gt;""),"N/A"))</f>
        <v>Req'd</v>
      </c>
      <c r="M109" s="219"/>
    </row>
    <row r="110" spans="1:13">
      <c r="A110" s="58" t="s">
        <v>50</v>
      </c>
      <c r="B110" s="467"/>
      <c r="C110" s="514" t="s">
        <v>53</v>
      </c>
      <c r="D110" s="60"/>
      <c r="G110" s="365" t="s">
        <v>242</v>
      </c>
      <c r="H110" s="343"/>
      <c r="I110" s="72">
        <f>B110*1.194*10^-7*J$115*(20.946/(20.946-15))</f>
        <v>0</v>
      </c>
      <c r="J110" s="76"/>
      <c r="K110" s="211"/>
      <c r="L110" s="206" t="str">
        <f>IF(COUNTA(B108:B110)=0,"Req'd",IF(OR(B108&lt;&gt;"",B109&lt;&gt;""),"N/A"))</f>
        <v>Req'd</v>
      </c>
      <c r="M110" s="219"/>
    </row>
    <row r="111" spans="1:13" ht="8.25" customHeight="1">
      <c r="A111" s="8"/>
      <c r="B111" s="465"/>
      <c r="C111" s="465"/>
      <c r="D111" s="59"/>
      <c r="E111" s="59"/>
      <c r="F111" s="59"/>
      <c r="H111" s="343"/>
      <c r="I111"/>
      <c r="J111"/>
      <c r="K111"/>
      <c r="L111" s="1"/>
      <c r="M111" s="221"/>
    </row>
    <row r="112" spans="1:13">
      <c r="A112" s="99" t="s">
        <v>89</v>
      </c>
      <c r="B112" s="464"/>
      <c r="C112" s="464"/>
      <c r="D112" s="98"/>
      <c r="E112" s="98"/>
      <c r="F112" s="98"/>
      <c r="G112" s="375"/>
      <c r="H112" s="343"/>
      <c r="I112"/>
      <c r="J112"/>
      <c r="K112"/>
      <c r="L112" s="1"/>
      <c r="M112" s="221"/>
    </row>
    <row r="113" spans="1:14">
      <c r="A113" s="101"/>
      <c r="B113" s="465"/>
      <c r="C113" s="465"/>
      <c r="D113" s="59"/>
      <c r="E113" s="59"/>
      <c r="F113" s="59"/>
      <c r="G113" s="376" t="s">
        <v>218</v>
      </c>
      <c r="H113" s="343"/>
      <c r="I113"/>
      <c r="J113"/>
      <c r="K113"/>
      <c r="L113" s="1"/>
      <c r="M113" s="221"/>
    </row>
    <row r="114" spans="1:14">
      <c r="A114" s="3" t="str">
        <f>"HHV  [Default: "&amp;I114&amp;" " &amp; C114&amp;"]"</f>
        <v>HHV  [Default: 1050 Btu/scf]</v>
      </c>
      <c r="B114" s="467"/>
      <c r="C114" s="514" t="s">
        <v>5</v>
      </c>
      <c r="D114" s="60"/>
      <c r="G114" s="533"/>
      <c r="H114" s="343"/>
      <c r="I114" s="66">
        <v>1050</v>
      </c>
      <c r="J114" s="67">
        <f>IF(ISNUMBER(B114),B114,I114)</f>
        <v>1050</v>
      </c>
      <c r="K114" s="204" t="s">
        <v>5</v>
      </c>
      <c r="L114" s="206" t="b">
        <v>0</v>
      </c>
      <c r="M114" s="219"/>
    </row>
    <row r="115" spans="1:14" ht="30">
      <c r="A115" s="3" t="str">
        <f>"F-factor (dry)  [Default: "&amp;I115&amp;" " &amp; C115&amp;"]"</f>
        <v>F-factor (dry)  [Default: 8710 dscf/MMBtu]</v>
      </c>
      <c r="B115" s="467"/>
      <c r="C115" s="514" t="s">
        <v>33</v>
      </c>
      <c r="D115" s="60"/>
      <c r="G115" s="377" t="s">
        <v>243</v>
      </c>
      <c r="H115" s="343"/>
      <c r="I115" s="66">
        <v>8710</v>
      </c>
      <c r="J115" s="67">
        <f>IF(ISNUMBER(B115),B115,I115)</f>
        <v>8710</v>
      </c>
      <c r="K115" s="204" t="s">
        <v>33</v>
      </c>
      <c r="L115" s="206" t="b">
        <v>0</v>
      </c>
      <c r="M115" s="219"/>
    </row>
    <row r="116" spans="1:14" ht="8.25" customHeight="1">
      <c r="A116" s="8"/>
      <c r="B116" s="465"/>
      <c r="C116" s="465"/>
      <c r="D116" s="59"/>
      <c r="E116" s="59"/>
      <c r="F116" s="59"/>
      <c r="H116" s="343"/>
      <c r="I116"/>
      <c r="J116"/>
      <c r="K116"/>
      <c r="L116" s="1"/>
      <c r="M116" s="221"/>
    </row>
    <row r="117" spans="1:14">
      <c r="A117" s="99" t="s">
        <v>90</v>
      </c>
      <c r="B117" s="464"/>
      <c r="C117" s="464"/>
      <c r="D117" s="98"/>
      <c r="E117" s="98"/>
      <c r="F117" s="98"/>
      <c r="G117" s="375"/>
      <c r="H117" s="343"/>
      <c r="I117"/>
      <c r="J117"/>
      <c r="K117"/>
      <c r="L117" s="1"/>
      <c r="M117" s="221"/>
    </row>
    <row r="118" spans="1:14">
      <c r="A118" s="101"/>
      <c r="B118" s="465"/>
      <c r="C118" s="465"/>
      <c r="D118" s="59"/>
      <c r="E118" s="59"/>
      <c r="F118" s="59"/>
      <c r="G118" s="376" t="s">
        <v>218</v>
      </c>
      <c r="H118" s="343"/>
      <c r="I118"/>
      <c r="J118"/>
      <c r="K118"/>
      <c r="L118" s="1"/>
      <c r="M118" s="221"/>
    </row>
    <row r="119" spans="1:14">
      <c r="A119" s="3" t="str">
        <f>"Max annual op hours [Default: "&amp;I119&amp;" " &amp; C119&amp;"]"</f>
        <v>Max annual op hours [Default: 8760 hr/yr]</v>
      </c>
      <c r="B119" s="467">
        <v>8760</v>
      </c>
      <c r="C119" s="514" t="s">
        <v>30</v>
      </c>
      <c r="D119" s="60"/>
      <c r="G119" s="365"/>
      <c r="H119" s="343"/>
      <c r="I119" s="66">
        <v>8760</v>
      </c>
      <c r="J119" s="67">
        <f>IF(ISNUMBER(B119),B119,I119)</f>
        <v>8760</v>
      </c>
      <c r="K119" s="204" t="s">
        <v>43</v>
      </c>
      <c r="L119" s="206" t="b">
        <v>0</v>
      </c>
      <c r="M119" s="219"/>
    </row>
    <row r="120" spans="1:14" ht="9" customHeight="1">
      <c r="A120" s="8"/>
      <c r="B120" s="465"/>
      <c r="C120" s="465"/>
      <c r="D120" s="59"/>
      <c r="E120" s="59"/>
      <c r="F120" s="59"/>
      <c r="H120" s="343"/>
      <c r="I120"/>
      <c r="J120"/>
      <c r="K120"/>
      <c r="L120" s="1"/>
      <c r="M120" s="221"/>
    </row>
    <row r="121" spans="1:14">
      <c r="A121" s="99" t="s">
        <v>58</v>
      </c>
      <c r="B121" s="464"/>
      <c r="C121" s="464"/>
      <c r="D121" s="98"/>
      <c r="E121" s="98"/>
      <c r="F121" s="98"/>
      <c r="G121" s="375"/>
      <c r="H121" s="343"/>
      <c r="I121"/>
      <c r="J121"/>
      <c r="K121"/>
      <c r="L121" s="366"/>
      <c r="M121" s="221"/>
    </row>
    <row r="122" spans="1:14">
      <c r="A122" s="101"/>
      <c r="B122" s="465"/>
      <c r="C122" s="465"/>
      <c r="D122" s="59"/>
      <c r="E122" s="59"/>
      <c r="F122" s="59"/>
      <c r="G122" s="376" t="s">
        <v>218</v>
      </c>
      <c r="H122" s="343"/>
      <c r="I122"/>
      <c r="J122"/>
      <c r="K122"/>
      <c r="L122" s="366"/>
      <c r="M122" s="221"/>
    </row>
    <row r="123" spans="1:14">
      <c r="A123" s="3" t="s">
        <v>57</v>
      </c>
      <c r="B123" s="467">
        <f>input_optimization!C52</f>
        <v>16.2</v>
      </c>
      <c r="C123" s="514" t="s">
        <v>42</v>
      </c>
      <c r="D123" s="60"/>
      <c r="G123" s="377" t="s">
        <v>238</v>
      </c>
      <c r="H123" s="343"/>
      <c r="I123" s="12" t="e">
        <f>0.105*B93*(J98*((J98-J108)/J98)+0.5*(J125+J127*J126))</f>
        <v>#DIV/0!</v>
      </c>
      <c r="J123" s="367">
        <f>IF(ISNUMBER(B123),B123,I123)</f>
        <v>16.2</v>
      </c>
      <c r="K123" s="204" t="str">
        <f>C123</f>
        <v>kW</v>
      </c>
      <c r="L123" s="368"/>
      <c r="M123" s="219" t="s">
        <v>244</v>
      </c>
    </row>
    <row r="124" spans="1:14">
      <c r="A124" s="8" t="s">
        <v>245</v>
      </c>
      <c r="B124" s="467"/>
      <c r="C124" s="514"/>
      <c r="D124" s="60"/>
      <c r="H124" s="343"/>
      <c r="I124" s="369"/>
      <c r="J124" s="370"/>
      <c r="K124" s="354"/>
      <c r="L124" s="371"/>
      <c r="M124" s="372"/>
      <c r="N124" s="8"/>
    </row>
    <row r="125" spans="1:14">
      <c r="A125" s="3" t="s">
        <v>246</v>
      </c>
      <c r="B125" s="467"/>
      <c r="C125" s="514"/>
      <c r="D125" s="60"/>
      <c r="G125" s="377" t="s">
        <v>247</v>
      </c>
      <c r="H125" s="343"/>
      <c r="I125" s="66">
        <v>3</v>
      </c>
      <c r="J125" s="96">
        <f>IF(ISNUMBER(B125),B125,I125)</f>
        <v>3</v>
      </c>
      <c r="K125" s="204" t="s">
        <v>248</v>
      </c>
      <c r="L125" s="368" t="str">
        <f>IF(B$123&lt;&gt;"","N/A")</f>
        <v>N/A</v>
      </c>
      <c r="M125" s="219"/>
    </row>
    <row r="126" spans="1:14">
      <c r="A126" s="3" t="s">
        <v>249</v>
      </c>
      <c r="B126" s="467"/>
      <c r="C126" s="514"/>
      <c r="D126" s="60"/>
      <c r="G126" s="377" t="s">
        <v>247</v>
      </c>
      <c r="H126" s="343"/>
      <c r="I126" s="66">
        <v>1</v>
      </c>
      <c r="J126" s="96">
        <f>IF(ISNUMBER(B126),B126,I126)</f>
        <v>1</v>
      </c>
      <c r="K126" s="204" t="s">
        <v>248</v>
      </c>
      <c r="L126" s="368" t="str">
        <f t="shared" ref="L126" si="4">IF(B$123&lt;&gt;"","N/A")</f>
        <v>N/A</v>
      </c>
      <c r="M126" s="219"/>
    </row>
    <row r="127" spans="1:14">
      <c r="A127" s="3" t="s">
        <v>250</v>
      </c>
      <c r="B127" s="467"/>
      <c r="C127" s="514"/>
      <c r="D127" s="60"/>
      <c r="G127" s="377"/>
      <c r="H127" s="343"/>
      <c r="I127" s="148"/>
      <c r="J127" s="96">
        <f>IF(ISNUMBER(B127),B127,I127)</f>
        <v>0</v>
      </c>
      <c r="K127" s="204" t="s">
        <v>251</v>
      </c>
      <c r="L127" s="368" t="str">
        <f>IF(B$123&lt;&gt;"","N/A",IF(B127="","Req'd"))</f>
        <v>N/A</v>
      </c>
      <c r="M127" s="219"/>
    </row>
    <row r="128" spans="1:14">
      <c r="A128" s="3" t="s">
        <v>252</v>
      </c>
      <c r="B128" s="469">
        <f>J123</f>
        <v>16.2</v>
      </c>
      <c r="C128" s="514" t="s">
        <v>42</v>
      </c>
      <c r="D128" s="323"/>
      <c r="G128" s="377" t="s">
        <v>247</v>
      </c>
      <c r="H128" s="343"/>
      <c r="I128" s="100"/>
      <c r="J128" s="373"/>
      <c r="K128" s="59"/>
      <c r="L128" s="368" t="str">
        <f>IF(B$123&lt;&gt;"","N/A")</f>
        <v>N/A</v>
      </c>
      <c r="M128" s="220"/>
    </row>
    <row r="129" spans="1:14">
      <c r="A129" s="8"/>
      <c r="B129" s="470"/>
      <c r="C129" s="515"/>
      <c r="D129" s="62"/>
      <c r="E129" s="59"/>
      <c r="F129" s="59"/>
      <c r="H129" s="231"/>
      <c r="I129" s="369"/>
      <c r="J129" s="370"/>
      <c r="K129" s="354"/>
      <c r="L129" s="371"/>
      <c r="M129" s="372"/>
      <c r="N129" s="8"/>
    </row>
    <row r="130" spans="1:14">
      <c r="A130" s="3" t="str">
        <f>"Electricity Cost  [Default: "&amp;I130&amp;" " &amp; C130&amp;"]"</f>
        <v>Electricity Cost  [Default: 0.1572 $/kWh]</v>
      </c>
      <c r="B130" s="467"/>
      <c r="C130" s="514" t="s">
        <v>6</v>
      </c>
      <c r="D130" s="60"/>
      <c r="G130" s="377"/>
      <c r="H130" s="343"/>
      <c r="I130" s="66">
        <v>0.15720000000000001</v>
      </c>
      <c r="J130" s="77">
        <f>IF(ISNUMBER(B130),B130,I130)</f>
        <v>0.15720000000000001</v>
      </c>
      <c r="K130" s="204" t="s">
        <v>6</v>
      </c>
      <c r="L130" s="368" t="b">
        <v>0</v>
      </c>
      <c r="M130" s="219"/>
    </row>
    <row r="131" spans="1:14" ht="8.25" customHeight="1">
      <c r="A131" s="8"/>
      <c r="B131" s="465"/>
      <c r="C131" s="465"/>
      <c r="D131" s="59"/>
      <c r="E131" s="59"/>
      <c r="F131" s="59"/>
      <c r="H131" s="343"/>
      <c r="I131"/>
      <c r="J131"/>
      <c r="K131"/>
      <c r="L131" s="1"/>
      <c r="M131" s="221"/>
    </row>
    <row r="132" spans="1:14">
      <c r="A132" s="99" t="s">
        <v>56</v>
      </c>
      <c r="B132" s="464"/>
      <c r="C132" s="464"/>
      <c r="D132" s="98"/>
      <c r="E132" s="98"/>
      <c r="F132" s="98"/>
      <c r="G132" s="375"/>
      <c r="H132" s="343"/>
      <c r="I132"/>
      <c r="J132"/>
      <c r="K132"/>
      <c r="L132" s="1"/>
      <c r="M132" s="221"/>
    </row>
    <row r="133" spans="1:14">
      <c r="A133" s="101"/>
      <c r="B133" s="465"/>
      <c r="C133" s="465"/>
      <c r="D133" s="59"/>
      <c r="E133" s="59"/>
      <c r="F133" s="59"/>
      <c r="G133" s="376" t="s">
        <v>218</v>
      </c>
      <c r="H133" s="343"/>
      <c r="I133"/>
      <c r="J133"/>
      <c r="K133"/>
      <c r="L133" s="1"/>
      <c r="M133" s="221"/>
    </row>
    <row r="134" spans="1:14">
      <c r="A134" s="3" t="s">
        <v>78</v>
      </c>
      <c r="B134" s="471">
        <f>input_optimization!C33</f>
        <v>5.67</v>
      </c>
      <c r="C134" s="514" t="s">
        <v>68</v>
      </c>
      <c r="D134" s="60"/>
      <c r="G134" s="377"/>
      <c r="H134" s="343"/>
      <c r="I134" s="66"/>
      <c r="J134" s="77">
        <f>B134</f>
        <v>5.67</v>
      </c>
      <c r="K134" s="204" t="str">
        <f>C134</f>
        <v>$/gallon</v>
      </c>
      <c r="L134" s="206" t="b">
        <f>IF(B134="","Req'd")</f>
        <v>0</v>
      </c>
      <c r="M134" s="219"/>
    </row>
    <row r="135" spans="1:14">
      <c r="A135" s="3" t="s">
        <v>77</v>
      </c>
      <c r="B135" s="467"/>
      <c r="C135" s="514" t="s">
        <v>69</v>
      </c>
      <c r="D135" s="60"/>
      <c r="G135" s="377" t="s">
        <v>238</v>
      </c>
      <c r="H135" s="343"/>
      <c r="I135" s="66"/>
      <c r="J135" s="67">
        <f>IF(ISNUMBER(B135),B135,B136*24*J138)</f>
        <v>0</v>
      </c>
      <c r="K135" s="204" t="s">
        <v>69</v>
      </c>
      <c r="L135" s="206" t="str">
        <f>IF(AND(B135="",B136=""),"Req'd")</f>
        <v>Req'd</v>
      </c>
      <c r="M135" s="219"/>
    </row>
    <row r="136" spans="1:14">
      <c r="A136" s="58" t="s">
        <v>50</v>
      </c>
      <c r="B136" s="467"/>
      <c r="C136" s="514" t="s">
        <v>70</v>
      </c>
      <c r="D136" s="60"/>
      <c r="G136" s="377" t="s">
        <v>230</v>
      </c>
      <c r="H136" s="343"/>
      <c r="I136" s="66"/>
      <c r="J136" s="67">
        <f>IF(ISNUMBER(B136),B136,B137*24*J139)</f>
        <v>0</v>
      </c>
      <c r="K136" s="204" t="s">
        <v>69</v>
      </c>
      <c r="L136" s="206" t="str">
        <f>IF(AND(B135="",B136=""),"Req'd",IF(B135&lt;&gt;"","N/A"))</f>
        <v>Req'd</v>
      </c>
      <c r="M136" s="219"/>
    </row>
    <row r="137" spans="1:14">
      <c r="B137" s="472"/>
      <c r="H137" s="343"/>
      <c r="I137"/>
      <c r="J137"/>
      <c r="K137"/>
      <c r="L137" s="1"/>
      <c r="M137" s="221"/>
    </row>
    <row r="138" spans="1:14">
      <c r="A138" s="3" t="s">
        <v>71</v>
      </c>
      <c r="B138" s="466"/>
      <c r="C138" s="514" t="s">
        <v>2</v>
      </c>
      <c r="D138" s="60"/>
      <c r="G138" s="377" t="s">
        <v>238</v>
      </c>
      <c r="H138" s="343"/>
      <c r="I138" s="66">
        <f>(J141/J142)</f>
        <v>4.2406439507792308</v>
      </c>
      <c r="J138" s="67">
        <f>IF(ISNUMBER(B138),B138,I138)</f>
        <v>4.2406439507792308</v>
      </c>
      <c r="K138" s="204" t="str">
        <f>C138</f>
        <v>gal/hr</v>
      </c>
      <c r="L138" s="206"/>
      <c r="M138" s="219"/>
    </row>
    <row r="139" spans="1:14" customFormat="1">
      <c r="A139" s="8" t="s">
        <v>76</v>
      </c>
      <c r="B139" s="419"/>
      <c r="C139" s="419"/>
      <c r="G139" s="374"/>
      <c r="H139" s="343"/>
      <c r="L139" s="1"/>
      <c r="M139" s="221"/>
    </row>
    <row r="140" spans="1:14">
      <c r="A140" s="58" t="str">
        <f>"Stored NH3 concentration  [Default: "&amp;TEXT(I140,"0.0%")&amp;"]"</f>
        <v>Stored NH3 concentration  [Default: 19.4%]</v>
      </c>
      <c r="B140" s="473"/>
      <c r="C140" s="514" t="s">
        <v>35</v>
      </c>
      <c r="D140" s="60"/>
      <c r="E140" s="3"/>
      <c r="F140" s="10"/>
      <c r="G140" s="377"/>
      <c r="H140" s="3"/>
      <c r="I140" s="97">
        <v>0.19400000000000001</v>
      </c>
      <c r="J140" s="95">
        <f>IF(ISNUMBER(B140),B140,I140)</f>
        <v>0.19400000000000001</v>
      </c>
      <c r="K140" s="207" t="s">
        <v>35</v>
      </c>
      <c r="L140" s="206" t="b">
        <f>IF(B$138&lt;&gt;"","N/A")</f>
        <v>0</v>
      </c>
      <c r="M140" s="219" t="s">
        <v>150</v>
      </c>
    </row>
    <row r="141" spans="1:14" ht="18">
      <c r="A141" s="58" t="s">
        <v>83</v>
      </c>
      <c r="B141" s="474">
        <f>input_optimization!C42</f>
        <v>33</v>
      </c>
      <c r="C141" s="514" t="s">
        <v>1</v>
      </c>
      <c r="D141" s="60"/>
      <c r="E141" s="3"/>
      <c r="F141" s="3"/>
      <c r="G141" s="377" t="s">
        <v>238</v>
      </c>
      <c r="H141" s="3"/>
      <c r="I141" s="12">
        <f>(J93*(J98-J108)+J94*(J103-J108))*(1.05*17.03)/(1*46.01)/J140</f>
        <v>0</v>
      </c>
      <c r="J141" s="96">
        <f>IF(ISNUMBER(B141),B141,I141)</f>
        <v>33</v>
      </c>
      <c r="K141" s="208" t="s">
        <v>1</v>
      </c>
      <c r="L141" s="206" t="b">
        <f>IF(B$138&lt;&gt;"","N/A")</f>
        <v>0</v>
      </c>
      <c r="M141" s="219" t="s">
        <v>149</v>
      </c>
    </row>
    <row r="142" spans="1:14">
      <c r="A142" s="58" t="str">
        <f>"NH3 solution density  [Default: "&amp;TEXT(I142,"0.000")&amp;" "&amp;K142&amp;"]"</f>
        <v>NH3 solution density  [Default: 7.782 lb/gal]</v>
      </c>
      <c r="B142" s="474"/>
      <c r="C142" s="514" t="s">
        <v>36</v>
      </c>
      <c r="D142" s="60"/>
      <c r="E142" s="3"/>
      <c r="F142" s="3"/>
      <c r="G142" s="377" t="s">
        <v>253</v>
      </c>
      <c r="H142" s="3"/>
      <c r="I142" s="12">
        <f>-3.3395*J140 + 8.4297</f>
        <v>7.7818370000000003</v>
      </c>
      <c r="J142" s="96">
        <f>IF(ISNUMBER(B142),B142,I142)</f>
        <v>7.7818370000000003</v>
      </c>
      <c r="K142" s="208" t="s">
        <v>36</v>
      </c>
      <c r="L142" s="206" t="b">
        <f>IF(B$138&lt;&gt;"","N/A")</f>
        <v>0</v>
      </c>
      <c r="M142" s="219"/>
    </row>
    <row r="143" spans="1:14">
      <c r="A143" s="3" t="s">
        <v>254</v>
      </c>
      <c r="B143" s="469">
        <f>J138</f>
        <v>4.2406439507792308</v>
      </c>
      <c r="C143" s="514" t="s">
        <v>2</v>
      </c>
      <c r="D143" s="60"/>
      <c r="E143" s="3"/>
      <c r="F143" s="3"/>
      <c r="G143" s="377" t="s">
        <v>255</v>
      </c>
      <c r="H143" s="3"/>
      <c r="I143" s="11"/>
      <c r="J143" s="11"/>
      <c r="K143" s="378"/>
      <c r="L143" s="368" t="b">
        <f>IF(B$138&lt;&gt;"","N/A")</f>
        <v>0</v>
      </c>
      <c r="M143" s="220"/>
    </row>
    <row r="144" spans="1:14" ht="8.25" customHeight="1">
      <c r="A144" s="8"/>
      <c r="B144" s="465"/>
      <c r="C144" s="465"/>
      <c r="D144" s="59"/>
      <c r="E144" s="59"/>
      <c r="F144" s="59"/>
      <c r="H144" s="343"/>
      <c r="I144"/>
      <c r="J144"/>
      <c r="K144"/>
      <c r="L144"/>
      <c r="M144" s="221"/>
    </row>
    <row r="145" spans="1:13">
      <c r="A145" s="99" t="s">
        <v>60</v>
      </c>
      <c r="B145" s="464"/>
      <c r="C145" s="464"/>
      <c r="D145" s="98"/>
      <c r="E145" s="98"/>
      <c r="F145" s="98"/>
      <c r="G145" s="375"/>
      <c r="H145" s="343"/>
      <c r="I145"/>
      <c r="J145"/>
      <c r="K145"/>
      <c r="L145"/>
      <c r="M145" s="221"/>
    </row>
    <row r="146" spans="1:13">
      <c r="A146" s="101"/>
      <c r="B146" s="465"/>
      <c r="C146" s="465"/>
      <c r="D146" s="59"/>
      <c r="E146" s="59"/>
      <c r="F146" s="59"/>
      <c r="G146" s="376" t="s">
        <v>218</v>
      </c>
      <c r="H146" s="343"/>
      <c r="I146"/>
      <c r="J146"/>
      <c r="K146"/>
      <c r="L146"/>
      <c r="M146" s="221"/>
    </row>
    <row r="147" spans="1:13">
      <c r="A147" s="3" t="s">
        <v>74</v>
      </c>
      <c r="B147" s="475">
        <v>260000</v>
      </c>
      <c r="G147" s="365" t="s">
        <v>219</v>
      </c>
      <c r="H147" s="343"/>
      <c r="I147" s="75"/>
      <c r="J147" s="73">
        <f>B147</f>
        <v>260000</v>
      </c>
      <c r="K147" s="204" t="s">
        <v>61</v>
      </c>
      <c r="L147" s="206" t="b">
        <f>IF(B147="","Req'd")</f>
        <v>0</v>
      </c>
      <c r="M147" s="219"/>
    </row>
    <row r="148" spans="1:13">
      <c r="A148" s="3" t="s">
        <v>73</v>
      </c>
      <c r="B148" s="467">
        <v>4</v>
      </c>
      <c r="C148" s="514" t="s">
        <v>37</v>
      </c>
      <c r="D148" s="323"/>
      <c r="G148" s="365"/>
      <c r="H148" s="343"/>
      <c r="I148" s="75"/>
      <c r="J148" s="67">
        <f>IF(ISNUMBER(B148),B148,I148)</f>
        <v>4</v>
      </c>
      <c r="K148" s="204" t="s">
        <v>37</v>
      </c>
      <c r="L148" s="206" t="b">
        <f>IF(B148="","Req'd")</f>
        <v>0</v>
      </c>
      <c r="M148" s="219"/>
    </row>
    <row r="149" spans="1:13">
      <c r="A149" s="321" t="s">
        <v>4</v>
      </c>
      <c r="B149" s="476">
        <v>7.0000000000000007E-2</v>
      </c>
      <c r="C149" s="514" t="s">
        <v>23</v>
      </c>
      <c r="D149" s="60"/>
      <c r="G149" s="377" t="s">
        <v>256</v>
      </c>
      <c r="H149" s="343"/>
      <c r="I149" s="75"/>
      <c r="J149" s="319">
        <f>IF(ISNUMBER(B149),B149,I149)</f>
        <v>7.0000000000000007E-2</v>
      </c>
      <c r="K149" s="204" t="s">
        <v>23</v>
      </c>
      <c r="L149" s="206" t="b">
        <f>IF(B149="","Req'd")</f>
        <v>0</v>
      </c>
      <c r="M149" s="219"/>
    </row>
    <row r="150" spans="1:13">
      <c r="A150" s="309" t="s">
        <v>204</v>
      </c>
      <c r="B150" s="477">
        <f>J150</f>
        <v>58559.310333488516</v>
      </c>
      <c r="G150" s="377" t="s">
        <v>257</v>
      </c>
      <c r="H150" s="343"/>
      <c r="I150" s="74">
        <f>IF(NOT(AND(ISNUMBER(B147),ISNUMBER(B148))),0,J147*J149/((1+J149)^J148-1))</f>
        <v>58559.310333488516</v>
      </c>
      <c r="J150" s="73">
        <f>I150</f>
        <v>58559.310333488516</v>
      </c>
      <c r="K150" s="204" t="s">
        <v>61</v>
      </c>
      <c r="L150" s="213" t="b">
        <v>0</v>
      </c>
      <c r="M150" s="219" t="s">
        <v>203</v>
      </c>
    </row>
    <row r="151" spans="1:13" ht="8.25" customHeight="1">
      <c r="A151" s="8"/>
      <c r="B151" s="465"/>
      <c r="C151" s="465"/>
      <c r="D151" s="59"/>
      <c r="E151" s="59"/>
      <c r="F151" s="59"/>
      <c r="H151" s="343"/>
      <c r="I151" s="324"/>
      <c r="J151"/>
      <c r="K151"/>
      <c r="L151"/>
    </row>
    <row r="152" spans="1:13">
      <c r="A152" s="3" t="s">
        <v>292</v>
      </c>
      <c r="B152" s="478"/>
      <c r="H152" s="343"/>
      <c r="I152" s="320"/>
      <c r="L152"/>
      <c r="M152"/>
    </row>
    <row r="153" spans="1:13">
      <c r="A153" s="10"/>
      <c r="B153" s="479"/>
      <c r="C153" s="479"/>
      <c r="D153" s="10"/>
      <c r="E153" s="16"/>
      <c r="F153" s="10"/>
      <c r="H153" s="3"/>
      <c r="I153" s="10"/>
      <c r="J153" s="17"/>
      <c r="K153" s="18"/>
      <c r="L153" s="10"/>
      <c r="M153" s="10"/>
    </row>
    <row r="154" spans="1:13">
      <c r="A154" s="379"/>
      <c r="B154" s="480"/>
      <c r="C154" s="480"/>
      <c r="D154" s="26"/>
      <c r="E154" s="26"/>
      <c r="F154" s="26"/>
      <c r="H154" s="26"/>
      <c r="I154" s="10"/>
      <c r="J154" s="26"/>
      <c r="K154" s="26"/>
      <c r="L154" s="10"/>
      <c r="M154" s="10"/>
    </row>
    <row r="155" spans="1:13">
      <c r="A155" s="10"/>
      <c r="B155" s="480"/>
      <c r="C155" s="480"/>
      <c r="D155" s="26"/>
      <c r="E155" s="26"/>
      <c r="F155" s="26"/>
      <c r="H155" s="26"/>
      <c r="I155" s="10"/>
      <c r="J155" s="26"/>
      <c r="K155" s="26"/>
      <c r="L155" s="10"/>
      <c r="M155" s="10"/>
    </row>
    <row r="156" spans="1:13">
      <c r="A156" s="10"/>
      <c r="B156" s="480"/>
      <c r="C156" s="480"/>
      <c r="D156" s="26"/>
      <c r="E156" s="26"/>
      <c r="F156" s="26"/>
      <c r="G156" s="534"/>
      <c r="H156" s="26"/>
      <c r="I156" s="10"/>
      <c r="J156" s="26"/>
      <c r="K156" s="26"/>
      <c r="L156" s="10"/>
      <c r="M156" s="10"/>
    </row>
    <row r="157" spans="1:13">
      <c r="A157" s="10"/>
      <c r="B157" s="480"/>
      <c r="C157" s="480"/>
      <c r="D157" s="26"/>
      <c r="E157" s="26"/>
      <c r="F157" s="26"/>
      <c r="G157" s="534"/>
      <c r="H157" s="26"/>
      <c r="I157" s="10"/>
      <c r="J157" s="26"/>
      <c r="K157" s="26"/>
      <c r="L157" s="10"/>
      <c r="M157" s="10"/>
    </row>
    <row r="158" spans="1:13">
      <c r="A158" s="10"/>
      <c r="B158" s="480"/>
      <c r="C158" s="480"/>
      <c r="D158" s="26"/>
      <c r="E158" s="26"/>
      <c r="F158" s="26"/>
      <c r="G158" s="534"/>
      <c r="H158" s="26"/>
      <c r="I158" s="10"/>
      <c r="J158" s="26"/>
      <c r="K158" s="26"/>
      <c r="L158" s="10"/>
      <c r="M158" s="10"/>
    </row>
    <row r="159" spans="1:13">
      <c r="A159" s="10"/>
      <c r="B159" s="480"/>
      <c r="C159" s="480"/>
      <c r="D159" s="26"/>
      <c r="E159" s="26"/>
      <c r="F159" s="26"/>
      <c r="G159" s="534"/>
      <c r="H159" s="26"/>
      <c r="I159" s="10"/>
      <c r="J159" s="26"/>
      <c r="K159" s="26"/>
      <c r="L159" s="10"/>
      <c r="M159" s="10"/>
    </row>
    <row r="160" spans="1:13">
      <c r="A160" s="10"/>
      <c r="B160" s="480"/>
      <c r="C160" s="480"/>
      <c r="D160" s="26"/>
      <c r="E160" s="26"/>
      <c r="F160" s="26"/>
      <c r="G160" s="534"/>
      <c r="H160" s="26"/>
      <c r="I160" s="10"/>
      <c r="J160" s="26"/>
      <c r="K160" s="26"/>
      <c r="L160" s="10"/>
      <c r="M160" s="10"/>
    </row>
    <row r="161" spans="1:13">
      <c r="A161" s="10"/>
      <c r="B161" s="480"/>
      <c r="C161" s="480"/>
      <c r="D161" s="26"/>
      <c r="E161" s="26"/>
      <c r="F161" s="26"/>
      <c r="G161" s="534"/>
      <c r="H161" s="26"/>
      <c r="I161" s="10"/>
      <c r="J161" s="26"/>
      <c r="K161" s="26"/>
      <c r="L161" s="10"/>
      <c r="M161" s="10"/>
    </row>
    <row r="162" spans="1:13">
      <c r="A162" s="10"/>
      <c r="B162" s="480"/>
      <c r="C162" s="480"/>
      <c r="D162" s="26"/>
      <c r="E162" s="26"/>
      <c r="F162" s="26"/>
      <c r="G162" s="534"/>
      <c r="H162" s="26"/>
      <c r="I162" s="10"/>
      <c r="J162" s="26"/>
      <c r="K162" s="26"/>
      <c r="L162" s="10"/>
      <c r="M162" s="10"/>
    </row>
    <row r="163" spans="1:13">
      <c r="A163" s="10"/>
      <c r="B163" s="480"/>
      <c r="C163" s="480"/>
      <c r="D163" s="26"/>
      <c r="E163" s="26"/>
      <c r="F163" s="26"/>
      <c r="G163" s="534"/>
      <c r="H163" s="26"/>
      <c r="I163" s="10"/>
      <c r="J163" s="26"/>
      <c r="K163" s="26"/>
      <c r="L163" s="10"/>
      <c r="M163" s="10"/>
    </row>
    <row r="164" spans="1:13">
      <c r="A164" s="10"/>
      <c r="B164" s="480"/>
      <c r="C164" s="480"/>
      <c r="D164" s="26"/>
      <c r="E164" s="26"/>
      <c r="F164" s="26"/>
      <c r="G164" s="534"/>
      <c r="H164" s="26"/>
      <c r="I164" s="10"/>
      <c r="J164" s="26"/>
      <c r="K164" s="26"/>
      <c r="L164" s="10"/>
      <c r="M164" s="10"/>
    </row>
    <row r="165" spans="1:13">
      <c r="A165" s="10"/>
      <c r="B165" s="480"/>
      <c r="C165" s="480"/>
      <c r="D165" s="26"/>
      <c r="E165" s="26"/>
      <c r="F165" s="26"/>
      <c r="G165" s="534"/>
      <c r="H165" s="26"/>
      <c r="I165" s="10"/>
      <c r="J165" s="26"/>
      <c r="K165" s="26"/>
      <c r="L165" s="10"/>
      <c r="M165" s="10"/>
    </row>
    <row r="166" spans="1:13">
      <c r="A166" s="10"/>
      <c r="B166" s="480"/>
      <c r="C166" s="480"/>
      <c r="D166" s="26"/>
      <c r="E166" s="26"/>
      <c r="F166" s="26"/>
      <c r="G166" s="534"/>
      <c r="H166" s="26"/>
      <c r="I166" s="10"/>
      <c r="J166" s="26"/>
      <c r="K166" s="26"/>
      <c r="L166" s="10"/>
      <c r="M166" s="10"/>
    </row>
    <row r="167" spans="1:13">
      <c r="A167" s="10"/>
      <c r="B167" s="480"/>
      <c r="C167" s="480"/>
      <c r="D167" s="26"/>
      <c r="E167" s="26"/>
      <c r="F167" s="26"/>
      <c r="G167" s="534"/>
      <c r="H167" s="26"/>
      <c r="I167" s="10"/>
      <c r="J167" s="26"/>
      <c r="K167" s="26"/>
      <c r="L167" s="10"/>
      <c r="M167" s="10"/>
    </row>
    <row r="168" spans="1:13">
      <c r="A168" s="10"/>
      <c r="B168" s="480"/>
      <c r="C168" s="480"/>
      <c r="D168" s="26"/>
      <c r="E168" s="26"/>
      <c r="F168" s="26"/>
      <c r="G168" s="534"/>
      <c r="H168" s="26"/>
      <c r="I168" s="10"/>
      <c r="J168" s="26"/>
      <c r="K168" s="26"/>
      <c r="L168" s="10"/>
      <c r="M168" s="10"/>
    </row>
    <row r="169" spans="1:13">
      <c r="A169" s="10"/>
      <c r="B169" s="480"/>
      <c r="C169" s="480"/>
      <c r="D169" s="26"/>
      <c r="E169" s="26"/>
      <c r="F169" s="26"/>
      <c r="G169" s="534"/>
      <c r="H169" s="26"/>
      <c r="I169" s="10"/>
      <c r="J169" s="26"/>
      <c r="K169" s="26"/>
      <c r="L169" s="10"/>
      <c r="M169" s="10"/>
    </row>
  </sheetData>
  <customSheetViews>
    <customSheetView guid="{9BB43D49-5D78-4E4A-AB52-EDF70C494511}" scale="71" showPageBreaks="1" showGridLines="0" fitToPage="1" printArea="1" hiddenRows="1" hiddenColumns="1" view="pageLayout">
      <selection activeCell="A27" sqref="A27"/>
      <rowBreaks count="2" manualBreakCount="2">
        <brk id="41" max="6" man="1"/>
        <brk id="84" max="6" man="1"/>
      </rowBreaks>
      <pageMargins left="0.7" right="0.7" top="0.75" bottom="0.75" header="0.3" footer="0.3"/>
      <printOptions horizontalCentered="1"/>
      <pageSetup scale="67" fitToHeight="0" orientation="landscape" verticalDpi="300" r:id="rId1"/>
      <headerFooter alignWithMargins="0">
        <oddHeader>&amp;L&amp;G&amp;C&amp;"-,Bold"&amp;14GTP BACT ANALYSIS
Confidential</oddHeader>
        <oddFooter>&amp;LAppendix D - BACT Cost Effectiveness (Main Power Generator)&amp;RPage &amp;P of &amp;N</oddFooter>
      </headerFooter>
    </customSheetView>
  </customSheetViews>
  <mergeCells count="8">
    <mergeCell ref="A57:G57"/>
    <mergeCell ref="A65:G65"/>
    <mergeCell ref="A1:G1"/>
    <mergeCell ref="A2:G2"/>
    <mergeCell ref="A3:G3"/>
    <mergeCell ref="A9:G9"/>
    <mergeCell ref="A28:G28"/>
    <mergeCell ref="A43:G43"/>
  </mergeCells>
  <conditionalFormatting sqref="C11:D23 C47:D47 C55:D56 C64:D64 C66:D71 C29:D42 C44:D45 C25:D27">
    <cfRule type="expression" dxfId="69" priority="46">
      <formula>$B11&lt;&gt;""</formula>
    </cfRule>
  </conditionalFormatting>
  <conditionalFormatting sqref="B11:B23 B47 B55:B56 B25:B27 B61:B64 B29:B42 B44:B45 B144:B150 B66:B74 B78:B142">
    <cfRule type="expression" dxfId="68" priority="47">
      <formula>$L11="N/A"</formula>
    </cfRule>
    <cfRule type="expression" dxfId="67" priority="48">
      <formula>AND($L11="Req'd",$B11="")</formula>
    </cfRule>
  </conditionalFormatting>
  <conditionalFormatting sqref="D46">
    <cfRule type="expression" dxfId="66" priority="43">
      <formula>$B46&lt;&gt;""</formula>
    </cfRule>
  </conditionalFormatting>
  <conditionalFormatting sqref="B46">
    <cfRule type="expression" dxfId="65" priority="44">
      <formula>$L46="N/A"</formula>
    </cfRule>
    <cfRule type="expression" dxfId="64" priority="45">
      <formula>AND($L46="Req'd",$B46="")</formula>
    </cfRule>
  </conditionalFormatting>
  <conditionalFormatting sqref="C58:D58 C63:D63">
    <cfRule type="expression" dxfId="63" priority="40">
      <formula>$B58&lt;&gt;""</formula>
    </cfRule>
  </conditionalFormatting>
  <conditionalFormatting sqref="B58:B59">
    <cfRule type="expression" dxfId="62" priority="41">
      <formula>$L58="N/A"</formula>
    </cfRule>
    <cfRule type="expression" dxfId="61" priority="42">
      <formula>AND($L58="Req'd",$B58="")</formula>
    </cfRule>
  </conditionalFormatting>
  <conditionalFormatting sqref="B60">
    <cfRule type="expression" dxfId="60" priority="38">
      <formula>$L60="N/A"</formula>
    </cfRule>
    <cfRule type="expression" dxfId="59" priority="39">
      <formula>AND($L60="Req'd",$B60="")</formula>
    </cfRule>
  </conditionalFormatting>
  <conditionalFormatting sqref="C59">
    <cfRule type="expression" dxfId="58" priority="37">
      <formula>$B59&lt;&gt;""</formula>
    </cfRule>
  </conditionalFormatting>
  <conditionalFormatting sqref="D59">
    <cfRule type="expression" dxfId="57" priority="36">
      <formula>$B59&lt;&gt;""</formula>
    </cfRule>
  </conditionalFormatting>
  <conditionalFormatting sqref="C48">
    <cfRule type="expression" dxfId="56" priority="33">
      <formula>$B48&lt;&gt;""</formula>
    </cfRule>
  </conditionalFormatting>
  <conditionalFormatting sqref="B48">
    <cfRule type="expression" dxfId="55" priority="34">
      <formula>$L48="N/A"</formula>
    </cfRule>
    <cfRule type="expression" dxfId="54" priority="35">
      <formula>AND($L48="Req'd",$B48="")</formula>
    </cfRule>
  </conditionalFormatting>
  <conditionalFormatting sqref="C60:D60">
    <cfRule type="expression" dxfId="53" priority="32">
      <formula>$B60&lt;&gt;""</formula>
    </cfRule>
  </conditionalFormatting>
  <conditionalFormatting sqref="C61:D61">
    <cfRule type="expression" dxfId="52" priority="31">
      <formula>$B61&lt;&gt;""</formula>
    </cfRule>
  </conditionalFormatting>
  <conditionalFormatting sqref="C62:D62">
    <cfRule type="expression" dxfId="51" priority="30">
      <formula>$B62&lt;&gt;""</formula>
    </cfRule>
  </conditionalFormatting>
  <conditionalFormatting sqref="B49">
    <cfRule type="expression" dxfId="50" priority="28">
      <formula>$L49="N/A"</formula>
    </cfRule>
    <cfRule type="expression" dxfId="49" priority="29">
      <formula>AND($L49="Req'd",$B49="")</formula>
    </cfRule>
  </conditionalFormatting>
  <conditionalFormatting sqref="B50">
    <cfRule type="expression" dxfId="48" priority="26">
      <formula>$L50="N/A"</formula>
    </cfRule>
    <cfRule type="expression" dxfId="47" priority="27">
      <formula>AND($L50="Req'd",$B50="")</formula>
    </cfRule>
  </conditionalFormatting>
  <conditionalFormatting sqref="B51:B52">
    <cfRule type="expression" dxfId="46" priority="24">
      <formula>$L51="N/A"</formula>
    </cfRule>
    <cfRule type="expression" dxfId="45" priority="25">
      <formula>AND($L51="Req'd",$B51="")</formula>
    </cfRule>
  </conditionalFormatting>
  <conditionalFormatting sqref="C54:D54">
    <cfRule type="expression" dxfId="44" priority="18">
      <formula>$B54&lt;&gt;""</formula>
    </cfRule>
  </conditionalFormatting>
  <conditionalFormatting sqref="C53:D53">
    <cfRule type="expression" dxfId="43" priority="21">
      <formula>$B53&lt;&gt;""</formula>
    </cfRule>
  </conditionalFormatting>
  <conditionalFormatting sqref="B53">
    <cfRule type="expression" dxfId="42" priority="22">
      <formula>$L53="N/A"</formula>
    </cfRule>
    <cfRule type="expression" dxfId="41" priority="23">
      <formula>AND($L53="Req'd",$B53="")</formula>
    </cfRule>
  </conditionalFormatting>
  <conditionalFormatting sqref="B54">
    <cfRule type="expression" dxfId="40" priority="19">
      <formula>$L54="N/A"</formula>
    </cfRule>
    <cfRule type="expression" dxfId="39" priority="20">
      <formula>AND($L54="Req'd",$B54="")</formula>
    </cfRule>
  </conditionalFormatting>
  <conditionalFormatting sqref="C50">
    <cfRule type="expression" dxfId="38" priority="17">
      <formula>$B50&lt;&gt;""</formula>
    </cfRule>
  </conditionalFormatting>
  <conditionalFormatting sqref="D50">
    <cfRule type="expression" dxfId="37" priority="16">
      <formula>$B50&lt;&gt;""</formula>
    </cfRule>
  </conditionalFormatting>
  <conditionalFormatting sqref="D51:D52">
    <cfRule type="expression" dxfId="36" priority="15">
      <formula>$B51&lt;&gt;""</formula>
    </cfRule>
  </conditionalFormatting>
  <conditionalFormatting sqref="C51">
    <cfRule type="expression" dxfId="35" priority="14">
      <formula>$B51&lt;&gt;""</formula>
    </cfRule>
  </conditionalFormatting>
  <conditionalFormatting sqref="C49">
    <cfRule type="expression" dxfId="34" priority="12">
      <formula>$B49&lt;&gt;""</formula>
    </cfRule>
  </conditionalFormatting>
  <conditionalFormatting sqref="D49">
    <cfRule type="expression" dxfId="33" priority="13">
      <formula>$B49&lt;&gt;""</formula>
    </cfRule>
  </conditionalFormatting>
  <conditionalFormatting sqref="D48">
    <cfRule type="expression" dxfId="32" priority="11">
      <formula>$B48&lt;&gt;""</formula>
    </cfRule>
  </conditionalFormatting>
  <conditionalFormatting sqref="B75:B77">
    <cfRule type="expression" dxfId="31" priority="9">
      <formula>$L75="N/A"</formula>
    </cfRule>
    <cfRule type="expression" dxfId="30" priority="10">
      <formula>AND($L75="Req'd",$B75="")</formula>
    </cfRule>
  </conditionalFormatting>
  <conditionalFormatting sqref="C46">
    <cfRule type="expression" dxfId="29" priority="8">
      <formula>$B46&lt;&gt;""</formula>
    </cfRule>
  </conditionalFormatting>
  <conditionalFormatting sqref="C52">
    <cfRule type="expression" dxfId="28" priority="7">
      <formula>$B52&lt;&gt;""</formula>
    </cfRule>
  </conditionalFormatting>
  <conditionalFormatting sqref="B143">
    <cfRule type="expression" dxfId="27" priority="5">
      <formula>$L143="N/A"</formula>
    </cfRule>
    <cfRule type="expression" dxfId="26" priority="6">
      <formula>AND($L143="Req'd",$B143="")</formula>
    </cfRule>
  </conditionalFormatting>
  <conditionalFormatting sqref="C75:C76">
    <cfRule type="expression" dxfId="25" priority="3">
      <formula>$L75="N/A"</formula>
    </cfRule>
    <cfRule type="expression" dxfId="24" priority="4">
      <formula>AND($L75="Req'd",$B75="")</formula>
    </cfRule>
  </conditionalFormatting>
  <conditionalFormatting sqref="B24">
    <cfRule type="expression" dxfId="23" priority="1">
      <formula>$K24="N/A"</formula>
    </cfRule>
    <cfRule type="expression" dxfId="22" priority="2">
      <formula>AND($K24="Req'd",$B24="")</formula>
    </cfRule>
  </conditionalFormatting>
  <printOptions horizontalCentered="1"/>
  <pageMargins left="0.7" right="0.7" top="0.75" bottom="0.75" header="0.3" footer="0.3"/>
  <pageSetup scale="73" fitToHeight="0" orientation="landscape" verticalDpi="300" r:id="rId2"/>
  <headerFooter alignWithMargins="0">
    <oddHeader>&amp;L&amp;G&amp;C&amp;"-,Bold"&amp;14GTP BACT ANALYSIS
Trade Secrets</oddHeader>
    <oddFooter>&amp;LAppendix D - BACT Cost Effectiveness (Main Power Generator)&amp;RPage &amp;P of &amp;N</oddFooter>
  </headerFooter>
  <rowBreaks count="2" manualBreakCount="2">
    <brk id="41" max="6" man="1"/>
    <brk id="84" max="6" man="1"/>
  </rowBreaks>
  <legacy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8"/>
  <sheetViews>
    <sheetView showGridLines="0" zoomScaleNormal="100" workbookViewId="0">
      <selection activeCell="A3" sqref="A3"/>
    </sheetView>
  </sheetViews>
  <sheetFormatPr defaultColWidth="9.140625" defaultRowHeight="12.75"/>
  <cols>
    <col min="1" max="1" width="42" style="3" customWidth="1"/>
    <col min="2" max="2" width="12.7109375" style="4" customWidth="1"/>
    <col min="3" max="6" width="12.42578125" style="4" customWidth="1"/>
    <col min="7" max="7" width="12.42578125" style="3" hidden="1" customWidth="1"/>
    <col min="8" max="9" width="12.42578125" style="4" hidden="1" customWidth="1"/>
    <col min="10" max="10" width="12.42578125" style="3" hidden="1" customWidth="1"/>
    <col min="11" max="11" width="25.5703125" style="3" hidden="1" customWidth="1"/>
    <col min="12" max="16384" width="9.140625" style="3"/>
  </cols>
  <sheetData>
    <row r="1" spans="1:11">
      <c r="G1" s="151"/>
      <c r="H1" s="57"/>
      <c r="I1" s="57"/>
      <c r="J1" s="151"/>
      <c r="K1" s="151"/>
    </row>
    <row r="2" spans="1:11" ht="18.75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75">
      <c r="A3" s="2" t="s">
        <v>111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A4" s="2" t="s">
        <v>119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8.75">
      <c r="A5" s="2" t="s">
        <v>115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customFormat="1" ht="15"/>
    <row r="7" spans="1:11" customFormat="1" ht="16.5" thickBot="1">
      <c r="A7" s="6" t="s">
        <v>91</v>
      </c>
      <c r="B7" s="7"/>
      <c r="C7" s="7"/>
      <c r="D7" s="7"/>
      <c r="E7" s="7"/>
    </row>
    <row r="8" spans="1:11" customFormat="1" ht="16.5" thickTop="1">
      <c r="A8" s="102"/>
      <c r="B8" s="59"/>
      <c r="C8" s="59"/>
      <c r="D8" s="59"/>
      <c r="E8" s="59"/>
    </row>
    <row r="9" spans="1:11" customFormat="1" ht="15">
      <c r="A9" s="3" t="s">
        <v>105</v>
      </c>
    </row>
    <row r="10" spans="1:11" customFormat="1" ht="15">
      <c r="A10" s="3" t="s">
        <v>85</v>
      </c>
    </row>
    <row r="11" spans="1:11" customFormat="1" ht="15">
      <c r="A11" s="3"/>
      <c r="D11" s="104"/>
      <c r="E11" s="104"/>
      <c r="F11" s="4"/>
      <c r="K11" s="103"/>
    </row>
    <row r="12" spans="1:11" customFormat="1" ht="30">
      <c r="A12" s="119" t="s">
        <v>95</v>
      </c>
      <c r="B12" s="118" t="s">
        <v>94</v>
      </c>
      <c r="C12" s="135" t="s">
        <v>98</v>
      </c>
      <c r="D12" s="136" t="s">
        <v>99</v>
      </c>
      <c r="E12" s="137"/>
      <c r="F12" s="4"/>
      <c r="G12" s="63" t="s">
        <v>25</v>
      </c>
      <c r="H12" s="64" t="s">
        <v>31</v>
      </c>
      <c r="I12" s="64" t="s">
        <v>34</v>
      </c>
      <c r="J12" s="64" t="s">
        <v>59</v>
      </c>
      <c r="K12" s="65" t="s">
        <v>32</v>
      </c>
    </row>
    <row r="13" spans="1:11" customFormat="1" ht="15">
      <c r="K13" s="221"/>
    </row>
    <row r="14" spans="1:11" ht="15">
      <c r="A14" s="117" t="s">
        <v>108</v>
      </c>
      <c r="B14" s="177"/>
      <c r="C14" s="120"/>
      <c r="D14" s="38" t="s">
        <v>7</v>
      </c>
      <c r="E14" s="33"/>
      <c r="F14" s="3"/>
      <c r="G14" s="148"/>
      <c r="H14" s="85">
        <f>B14</f>
        <v>0</v>
      </c>
      <c r="I14" s="85" t="s">
        <v>61</v>
      </c>
      <c r="J14" s="169" t="str">
        <f>IF(B14="","Req'd")</f>
        <v>Req'd</v>
      </c>
      <c r="K14" s="222"/>
    </row>
    <row r="15" spans="1:11" customFormat="1" ht="15">
      <c r="K15" s="221"/>
    </row>
    <row r="16" spans="1:11" customFormat="1" ht="15">
      <c r="A16" s="121" t="s">
        <v>92</v>
      </c>
      <c r="B16" s="122"/>
      <c r="C16" s="122"/>
      <c r="D16" s="123"/>
      <c r="E16" s="124"/>
      <c r="F16" s="4"/>
      <c r="K16" s="221"/>
    </row>
    <row r="17" spans="1:11" customFormat="1" ht="30">
      <c r="A17" s="125" t="s">
        <v>47</v>
      </c>
      <c r="B17" s="178"/>
      <c r="C17" s="126">
        <f>0.05*$B$14</f>
        <v>0</v>
      </c>
      <c r="D17" s="39" t="s">
        <v>44</v>
      </c>
      <c r="E17" s="34"/>
      <c r="F17" s="4"/>
      <c r="G17" s="148"/>
      <c r="H17" s="86">
        <f>IF(ISNUMBER(B17),B17,C17)</f>
        <v>0</v>
      </c>
      <c r="I17" s="85" t="s">
        <v>61</v>
      </c>
      <c r="J17" s="143" t="b">
        <v>0</v>
      </c>
      <c r="K17" s="222"/>
    </row>
    <row r="18" spans="1:11" customFormat="1" ht="15">
      <c r="A18" s="127" t="s">
        <v>8</v>
      </c>
      <c r="B18" s="179"/>
      <c r="C18" s="128">
        <f>0.1*$B$14</f>
        <v>0</v>
      </c>
      <c r="D18" s="40" t="s">
        <v>45</v>
      </c>
      <c r="E18" s="35"/>
      <c r="F18" s="4"/>
      <c r="G18" s="148"/>
      <c r="H18" s="86">
        <f>IF(ISNUMBER(B18),B18,C18)</f>
        <v>0</v>
      </c>
      <c r="I18" s="85" t="s">
        <v>61</v>
      </c>
      <c r="J18" s="143" t="b">
        <v>0</v>
      </c>
      <c r="K18" s="222"/>
    </row>
    <row r="19" spans="1:11" customFormat="1" ht="15">
      <c r="A19" s="130" t="s">
        <v>9</v>
      </c>
      <c r="B19" s="180"/>
      <c r="C19" s="131">
        <f>0.05*$B$14</f>
        <v>0</v>
      </c>
      <c r="D19" s="41" t="s">
        <v>44</v>
      </c>
      <c r="E19" s="36"/>
      <c r="F19" s="4"/>
      <c r="G19" s="148"/>
      <c r="H19" s="86">
        <f>IF(ISNUMBER(B19),B19,C19)</f>
        <v>0</v>
      </c>
      <c r="I19" s="85" t="s">
        <v>61</v>
      </c>
      <c r="J19" s="143" t="b">
        <v>0</v>
      </c>
      <c r="K19" s="222"/>
    </row>
    <row r="20" spans="1:11" customFormat="1" ht="15">
      <c r="A20" s="115" t="s">
        <v>10</v>
      </c>
      <c r="B20" s="116">
        <f>H20</f>
        <v>0</v>
      </c>
      <c r="C20" s="129"/>
      <c r="D20" s="42" t="s">
        <v>11</v>
      </c>
      <c r="E20" s="37"/>
      <c r="F20" s="4"/>
      <c r="G20" s="148"/>
      <c r="H20" s="85">
        <f>SUM(H17:H19)</f>
        <v>0</v>
      </c>
      <c r="I20" s="85" t="s">
        <v>61</v>
      </c>
      <c r="J20" s="143"/>
      <c r="K20" s="222"/>
    </row>
    <row r="21" spans="1:11" customFormat="1" ht="15">
      <c r="K21" s="221"/>
    </row>
    <row r="22" spans="1:11" customFormat="1" ht="15">
      <c r="A22" s="121" t="s">
        <v>96</v>
      </c>
      <c r="B22" s="122"/>
      <c r="C22" s="122"/>
      <c r="D22" s="123"/>
      <c r="E22" s="124"/>
      <c r="F22" s="4"/>
      <c r="K22" s="221"/>
    </row>
    <row r="23" spans="1:11" s="5" customFormat="1" ht="15">
      <c r="A23" s="132" t="s">
        <v>12</v>
      </c>
      <c r="B23" s="181"/>
      <c r="C23" s="91">
        <f>0.15*(B14+B20)</f>
        <v>0</v>
      </c>
      <c r="D23" s="80" t="s">
        <v>46</v>
      </c>
      <c r="E23" s="43"/>
      <c r="G23" s="145"/>
      <c r="H23" s="86">
        <f>IF(ISNUMBER(B23),B23,C23)</f>
        <v>0</v>
      </c>
      <c r="I23" s="85" t="s">
        <v>61</v>
      </c>
      <c r="J23" s="143"/>
      <c r="K23" s="223"/>
    </row>
    <row r="24" spans="1:11" s="5" customFormat="1" ht="15">
      <c r="A24" s="170" t="s">
        <v>13</v>
      </c>
      <c r="B24" s="183"/>
      <c r="C24" s="92">
        <f>0.02*SUM(B14,B20,H23)</f>
        <v>0</v>
      </c>
      <c r="D24" s="108" t="s">
        <v>80</v>
      </c>
      <c r="E24" s="45"/>
      <c r="G24" s="145"/>
      <c r="H24" s="86">
        <f>IF(ISNUMBER(B24),B24,C24)</f>
        <v>0</v>
      </c>
      <c r="I24" s="85" t="s">
        <v>61</v>
      </c>
      <c r="J24" s="143"/>
      <c r="K24" s="223"/>
    </row>
    <row r="25" spans="1:11" s="5" customFormat="1" ht="15">
      <c r="A25" s="31" t="s">
        <v>14</v>
      </c>
      <c r="B25" s="94">
        <f>H25</f>
        <v>0</v>
      </c>
      <c r="C25" s="88"/>
      <c r="D25" s="83" t="s">
        <v>113</v>
      </c>
      <c r="E25" s="46"/>
      <c r="G25" s="145"/>
      <c r="H25" s="85">
        <f>SUM(H14,H20,H23,H24)</f>
        <v>0</v>
      </c>
      <c r="I25" s="85" t="s">
        <v>61</v>
      </c>
      <c r="J25" s="143"/>
      <c r="K25" s="223"/>
    </row>
    <row r="26" spans="1:11" ht="15">
      <c r="A26" s="30" t="s">
        <v>19</v>
      </c>
      <c r="B26" s="140">
        <f>B38*B25</f>
        <v>0</v>
      </c>
      <c r="C26" s="139"/>
      <c r="D26" s="79" t="s">
        <v>20</v>
      </c>
      <c r="E26" s="48"/>
      <c r="F26" s="3"/>
      <c r="G26" s="145"/>
      <c r="H26" s="85">
        <f>IF(ISNUMBER(B26),B26,C26)</f>
        <v>0</v>
      </c>
      <c r="I26" s="85"/>
      <c r="J26" s="143"/>
      <c r="K26" s="224" t="s">
        <v>145</v>
      </c>
    </row>
    <row r="27" spans="1:11" ht="15">
      <c r="G27"/>
      <c r="H27"/>
      <c r="I27"/>
      <c r="J27"/>
      <c r="K27" s="221"/>
    </row>
    <row r="28" spans="1:11" customFormat="1" ht="15">
      <c r="A28" s="105" t="s">
        <v>97</v>
      </c>
      <c r="B28" s="106"/>
      <c r="C28" s="106"/>
      <c r="D28" s="106"/>
      <c r="E28" s="107"/>
      <c r="F28" s="4"/>
      <c r="K28" s="221"/>
    </row>
    <row r="29" spans="1:11" s="5" customFormat="1" ht="15">
      <c r="A29" s="173" t="s">
        <v>40</v>
      </c>
      <c r="B29" s="181"/>
      <c r="C29" s="91">
        <v>0</v>
      </c>
      <c r="D29" s="109"/>
      <c r="E29" s="110"/>
      <c r="G29" s="145"/>
      <c r="H29" s="86">
        <f>IF(ISNUMBER(B29),B29,C29)</f>
        <v>0</v>
      </c>
      <c r="I29" s="86"/>
      <c r="J29" s="143"/>
      <c r="K29" s="223"/>
    </row>
    <row r="30" spans="1:11" s="5" customFormat="1" ht="15">
      <c r="A30" s="133" t="s">
        <v>15</v>
      </c>
      <c r="B30" s="182"/>
      <c r="C30" s="93">
        <f>B25*0.015</f>
        <v>0</v>
      </c>
      <c r="D30" s="111" t="s">
        <v>79</v>
      </c>
      <c r="E30" s="112"/>
      <c r="G30" s="145"/>
      <c r="H30" s="86">
        <f>IF(ISNUMBER(B30),B30,C30)</f>
        <v>0</v>
      </c>
      <c r="I30" s="86"/>
      <c r="J30" s="143"/>
      <c r="K30" s="223"/>
    </row>
    <row r="31" spans="1:11" ht="15">
      <c r="A31" s="176" t="s">
        <v>49</v>
      </c>
      <c r="B31" s="184"/>
      <c r="C31" s="89">
        <f>B102*H103*H98</f>
        <v>0</v>
      </c>
      <c r="D31" s="84" t="s">
        <v>93</v>
      </c>
      <c r="E31" s="47"/>
      <c r="F31" s="3"/>
      <c r="G31" s="147"/>
      <c r="H31" s="86">
        <f>IF(ISNUMBER(B31),B31,C31)</f>
        <v>0</v>
      </c>
      <c r="I31" s="86"/>
      <c r="J31" s="143"/>
      <c r="K31" s="225" t="s">
        <v>147</v>
      </c>
    </row>
    <row r="32" spans="1:11" ht="15">
      <c r="A32" s="170" t="s">
        <v>16</v>
      </c>
      <c r="B32" s="185"/>
      <c r="C32" s="90">
        <f>G32</f>
        <v>0</v>
      </c>
      <c r="D32" s="113" t="s">
        <v>93</v>
      </c>
      <c r="E32" s="114"/>
      <c r="F32" s="3"/>
      <c r="G32" s="145">
        <f>IF(OR(H109=0,H108=0),0,H109*H37/(1-(1+H37)^-H108))</f>
        <v>0</v>
      </c>
      <c r="H32" s="86">
        <f>IF(ISNUMBER(B32),B32,C32)</f>
        <v>0</v>
      </c>
      <c r="I32" s="86"/>
      <c r="J32" s="143"/>
      <c r="K32" s="223"/>
    </row>
    <row r="33" spans="1:11" ht="15">
      <c r="A33" s="31" t="s">
        <v>17</v>
      </c>
      <c r="B33" s="94">
        <f>H33</f>
        <v>0</v>
      </c>
      <c r="C33" s="158"/>
      <c r="D33" s="83" t="s">
        <v>29</v>
      </c>
      <c r="E33" s="42"/>
      <c r="F33" s="3"/>
      <c r="G33" s="145"/>
      <c r="H33" s="85">
        <f>SUM(H29:H32)</f>
        <v>0</v>
      </c>
      <c r="I33" s="85"/>
      <c r="J33" s="143"/>
      <c r="K33" s="223"/>
    </row>
    <row r="34" spans="1:11" customFormat="1" ht="15">
      <c r="F34" s="4"/>
      <c r="K34" s="221"/>
    </row>
    <row r="35" spans="1:11" ht="15">
      <c r="A35" s="121" t="s">
        <v>62</v>
      </c>
      <c r="B35" s="123"/>
      <c r="C35" s="123"/>
      <c r="D35" s="123"/>
      <c r="E35" s="124"/>
      <c r="F35"/>
      <c r="G35"/>
      <c r="H35"/>
      <c r="I35"/>
      <c r="J35"/>
      <c r="K35" s="221"/>
    </row>
    <row r="36" spans="1:11" ht="15">
      <c r="A36" s="56" t="s">
        <v>26</v>
      </c>
      <c r="B36" s="181"/>
      <c r="C36" s="52">
        <v>7</v>
      </c>
      <c r="D36" s="109" t="s">
        <v>27</v>
      </c>
      <c r="E36" s="110"/>
      <c r="F36"/>
      <c r="G36" s="146"/>
      <c r="H36" s="78">
        <f>IF(ISNUMBER(B36),B36,C36)</f>
        <v>7</v>
      </c>
      <c r="I36" s="67" t="s">
        <v>37</v>
      </c>
      <c r="J36" s="149" t="b">
        <v>0</v>
      </c>
      <c r="K36" s="222"/>
    </row>
    <row r="37" spans="1:11" ht="15">
      <c r="A37" s="54" t="s">
        <v>4</v>
      </c>
      <c r="B37" s="182"/>
      <c r="C37" s="138">
        <v>7.0000000000000007E-2</v>
      </c>
      <c r="D37" s="111" t="s">
        <v>28</v>
      </c>
      <c r="E37" s="112"/>
      <c r="F37"/>
      <c r="G37" s="146"/>
      <c r="H37" s="78">
        <f>IF(ISNUMBER(B37),B37,C37)</f>
        <v>7.0000000000000007E-2</v>
      </c>
      <c r="I37" s="67" t="s">
        <v>23</v>
      </c>
      <c r="J37" s="149" t="b">
        <v>0</v>
      </c>
      <c r="K37" s="222"/>
    </row>
    <row r="38" spans="1:11" ht="15" customHeight="1">
      <c r="A38" s="55" t="s">
        <v>18</v>
      </c>
      <c r="B38" s="141">
        <f>H37/(1-(1+H37)^-H36)</f>
        <v>0.18555321963115931</v>
      </c>
      <c r="C38" s="142"/>
      <c r="D38" s="113" t="s">
        <v>100</v>
      </c>
      <c r="E38" s="114"/>
      <c r="G38" s="146"/>
      <c r="H38" s="67"/>
      <c r="I38" s="67"/>
      <c r="J38" s="144"/>
      <c r="K38" s="226"/>
    </row>
    <row r="39" spans="1:11" customFormat="1" ht="15">
      <c r="K39" s="221"/>
    </row>
    <row r="40" spans="1:11" s="5" customFormat="1" ht="15">
      <c r="A40" s="30" t="s">
        <v>109</v>
      </c>
      <c r="B40" s="140">
        <f>SUM(B33,B26)</f>
        <v>0</v>
      </c>
      <c r="C40" s="139"/>
      <c r="D40" s="150" t="s">
        <v>22</v>
      </c>
      <c r="E40" s="49"/>
      <c r="G40" s="145"/>
      <c r="H40" s="87">
        <f>IF(ISNUMBER(#REF!),#REF!,H26+H33)</f>
        <v>0</v>
      </c>
      <c r="I40" s="87" t="s">
        <v>82</v>
      </c>
      <c r="J40" s="143"/>
      <c r="K40" s="224" t="s">
        <v>148</v>
      </c>
    </row>
    <row r="41" spans="1:11" s="5" customFormat="1" ht="15">
      <c r="A41" s="19"/>
      <c r="B41" s="13"/>
      <c r="C41" s="23"/>
      <c r="D41" s="22"/>
      <c r="E41" s="13"/>
      <c r="F41" s="15"/>
      <c r="G41" s="10"/>
      <c r="H41" s="22"/>
      <c r="I41" s="22"/>
      <c r="J41" s="10"/>
      <c r="K41" s="10"/>
    </row>
    <row r="42" spans="1:11" s="5" customFormat="1" ht="15">
      <c r="A42" s="19"/>
      <c r="B42" s="13"/>
      <c r="C42" s="23"/>
      <c r="D42" s="22"/>
      <c r="E42" s="13"/>
      <c r="F42" s="15"/>
      <c r="G42" s="10"/>
      <c r="H42" s="22"/>
      <c r="I42" s="22"/>
      <c r="J42" s="10"/>
      <c r="K42" s="10"/>
    </row>
    <row r="43" spans="1:11" customFormat="1" ht="16.5" thickBot="1">
      <c r="A43" s="6" t="s">
        <v>106</v>
      </c>
      <c r="B43" s="7"/>
      <c r="C43" s="7"/>
      <c r="D43" s="7"/>
      <c r="E43" s="7"/>
    </row>
    <row r="44" spans="1:11" s="8" customFormat="1" ht="15.75" thickTop="1">
      <c r="A44" s="29"/>
      <c r="B44" s="11"/>
      <c r="C44" s="25"/>
      <c r="D44" s="25"/>
      <c r="E44" s="25"/>
      <c r="F44"/>
      <c r="G44"/>
      <c r="H44"/>
      <c r="I44"/>
      <c r="J44"/>
      <c r="K44"/>
    </row>
    <row r="45" spans="1:11" s="8" customFormat="1" ht="15">
      <c r="A45" s="29"/>
      <c r="B45" s="200" t="s">
        <v>120</v>
      </c>
      <c r="C45" s="201" t="s">
        <v>121</v>
      </c>
      <c r="D45" s="25"/>
      <c r="E45" s="25"/>
      <c r="F45"/>
      <c r="G45"/>
      <c r="H45"/>
      <c r="I45"/>
      <c r="J45"/>
      <c r="K45"/>
    </row>
    <row r="46" spans="1:11" s="5" customFormat="1" ht="15">
      <c r="A46" s="51" t="s">
        <v>122</v>
      </c>
      <c r="B46" s="154">
        <f>$H$65*$H$69*$H$98/2000</f>
        <v>0</v>
      </c>
      <c r="C46" s="154">
        <f>$H$65*$H$81*$H$98/2000</f>
        <v>0</v>
      </c>
      <c r="E46"/>
      <c r="F46"/>
      <c r="G46" s="10"/>
      <c r="H46"/>
      <c r="I46"/>
      <c r="J46" s="10"/>
      <c r="K46" s="10"/>
    </row>
    <row r="47" spans="1:11" s="5" customFormat="1" ht="15">
      <c r="A47" s="32" t="s">
        <v>123</v>
      </c>
      <c r="B47" s="155">
        <f>SUM($H$65:$H$65)*H74*$H$98/2000</f>
        <v>0</v>
      </c>
      <c r="C47" s="155">
        <f>SUM($H$65:$H$65)*H86*$H$98/2000</f>
        <v>0</v>
      </c>
      <c r="E47" s="14"/>
      <c r="F47" s="15"/>
      <c r="G47" s="10"/>
      <c r="H47" s="20"/>
      <c r="I47" s="20"/>
      <c r="J47" s="10"/>
      <c r="K47" s="10"/>
    </row>
    <row r="48" spans="1:11" s="5" customFormat="1" ht="15">
      <c r="A48" s="152" t="s">
        <v>124</v>
      </c>
      <c r="B48" s="153">
        <f>B46-B47</f>
        <v>0</v>
      </c>
      <c r="C48" s="153">
        <f>C46-C47</f>
        <v>0</v>
      </c>
      <c r="E48"/>
      <c r="F48"/>
      <c r="G48" s="10"/>
      <c r="H48"/>
      <c r="I48"/>
      <c r="J48" s="10"/>
      <c r="K48" s="10"/>
    </row>
    <row r="49" spans="1:11" s="5" customFormat="1" ht="15">
      <c r="A49" s="24"/>
      <c r="B49" s="27"/>
      <c r="C49" s="15"/>
      <c r="E49"/>
      <c r="F49"/>
      <c r="G49" s="10"/>
      <c r="H49"/>
      <c r="I49"/>
      <c r="J49" s="10"/>
      <c r="K49" s="10"/>
    </row>
    <row r="50" spans="1:11" s="5" customFormat="1" ht="15">
      <c r="A50" s="53" t="s">
        <v>21</v>
      </c>
      <c r="B50" s="156">
        <f>B40</f>
        <v>0</v>
      </c>
      <c r="C50" s="156">
        <f>B40</f>
        <v>0</v>
      </c>
      <c r="E50"/>
      <c r="F50"/>
      <c r="G50" s="10"/>
      <c r="H50"/>
      <c r="I50"/>
      <c r="J50" s="10"/>
      <c r="K50" s="10"/>
    </row>
    <row r="51" spans="1:11" s="5" customFormat="1" ht="15">
      <c r="A51" s="54" t="s">
        <v>104</v>
      </c>
      <c r="B51" s="157" t="str">
        <f>IF(B48=0,"",B50/B48)</f>
        <v/>
      </c>
      <c r="C51" s="157" t="str">
        <f>IF(C48=0,"",C50/C48)</f>
        <v/>
      </c>
      <c r="F51" s="9"/>
      <c r="G51" s="10"/>
      <c r="H51" s="28"/>
      <c r="I51" s="28"/>
      <c r="J51" s="10"/>
      <c r="K51" s="10"/>
    </row>
    <row r="52" spans="1:11" s="5" customFormat="1" ht="15">
      <c r="A52" s="229" t="s">
        <v>151</v>
      </c>
      <c r="B52" s="230"/>
      <c r="C52" s="230"/>
      <c r="E52" s="13"/>
      <c r="F52" s="15"/>
      <c r="G52" s="10"/>
      <c r="H52" s="22"/>
      <c r="I52" s="22"/>
      <c r="J52" s="10"/>
      <c r="K52" s="10"/>
    </row>
    <row r="53" spans="1:11" s="5" customFormat="1" ht="15.75" thickBot="1">
      <c r="A53" s="21"/>
      <c r="B53" s="159"/>
      <c r="C53" s="13"/>
      <c r="E53" s="13"/>
      <c r="F53" s="15"/>
      <c r="G53" s="10"/>
      <c r="H53" s="22"/>
      <c r="I53" s="22"/>
      <c r="J53" s="10"/>
      <c r="K53" s="10"/>
    </row>
    <row r="54" spans="1:11" s="5" customFormat="1" ht="15">
      <c r="A54" s="168" t="s">
        <v>137</v>
      </c>
      <c r="B54" s="160"/>
      <c r="C54" s="161"/>
      <c r="D54" s="162"/>
      <c r="E54" s="163"/>
      <c r="F54" s="15"/>
      <c r="G54" s="10"/>
      <c r="H54" s="22"/>
      <c r="I54" s="22"/>
      <c r="J54" s="10"/>
      <c r="K54" s="10"/>
    </row>
    <row r="55" spans="1:11" s="5" customFormat="1" ht="33" customHeight="1" thickBot="1">
      <c r="A55" s="554" t="str">
        <f>IF(AND(B51="",C51=""),"TBD",IF(AND(B51&lt;=B52,C51&lt;=C52),"Project may be considered cost effective for both CO and VOC control.", IF(OR(B51&lt;=B52,C51&lt;=C52),"Project may be considered cost effective for "&amp;IF(B51&lt;B52,"CO","VOC") &amp;" control.","Project costs exceed both CO and VOC BACT cost effectiveness thresholds and may not be considered cost effective.")))</f>
        <v>TBD</v>
      </c>
      <c r="B55" s="555"/>
      <c r="C55" s="555"/>
      <c r="D55" s="555"/>
      <c r="E55" s="556"/>
      <c r="F55" s="15"/>
      <c r="G55" s="10"/>
      <c r="H55" s="22"/>
      <c r="I55" s="22"/>
      <c r="J55" s="10"/>
      <c r="K55" s="10"/>
    </row>
    <row r="56" spans="1:11" s="5" customFormat="1" ht="15">
      <c r="A56" s="19"/>
      <c r="B56" s="13"/>
      <c r="C56" s="22"/>
      <c r="D56" s="22"/>
      <c r="E56" s="13"/>
      <c r="F56" s="15"/>
      <c r="G56" s="10"/>
      <c r="H56" s="22"/>
      <c r="I56" s="22"/>
      <c r="J56" s="10"/>
      <c r="K56" s="10"/>
    </row>
    <row r="57" spans="1:11" s="5" customFormat="1" ht="15">
      <c r="A57" s="19"/>
      <c r="B57" s="13"/>
      <c r="C57" s="22"/>
      <c r="D57" s="22"/>
      <c r="E57" s="13"/>
      <c r="F57" s="15"/>
      <c r="G57" s="10"/>
      <c r="H57" s="22"/>
      <c r="I57" s="22"/>
      <c r="J57" s="10"/>
      <c r="K57" s="10"/>
    </row>
    <row r="58" spans="1:11" customFormat="1" ht="16.5" thickBot="1">
      <c r="A58" s="6" t="s">
        <v>107</v>
      </c>
      <c r="B58" s="7"/>
      <c r="C58" s="7"/>
      <c r="D58" s="7"/>
      <c r="E58" s="7"/>
    </row>
    <row r="59" spans="1:11" ht="15.75" thickTop="1">
      <c r="F59"/>
      <c r="H59" s="3"/>
      <c r="I59" s="3"/>
      <c r="K59"/>
    </row>
    <row r="60" spans="1:11" ht="15">
      <c r="A60" s="3" t="s">
        <v>86</v>
      </c>
      <c r="F60"/>
      <c r="G60"/>
      <c r="H60"/>
      <c r="I60"/>
      <c r="J60"/>
      <c r="K60"/>
    </row>
    <row r="61" spans="1:11" ht="15">
      <c r="A61" s="3" t="s">
        <v>85</v>
      </c>
      <c r="F61"/>
      <c r="G61"/>
      <c r="H61"/>
      <c r="I61"/>
      <c r="J61"/>
      <c r="K61"/>
    </row>
    <row r="62" spans="1:11" ht="15">
      <c r="F62"/>
      <c r="G62"/>
      <c r="H62"/>
      <c r="I62"/>
      <c r="J62"/>
      <c r="K62"/>
    </row>
    <row r="63" spans="1:11" ht="15">
      <c r="A63" s="99" t="s">
        <v>88</v>
      </c>
      <c r="B63" s="98"/>
      <c r="C63" s="98"/>
      <c r="D63" s="98"/>
      <c r="E63" s="98"/>
      <c r="F63"/>
      <c r="G63" s="63" t="s">
        <v>25</v>
      </c>
      <c r="H63" s="64" t="s">
        <v>31</v>
      </c>
      <c r="I63" s="212" t="s">
        <v>34</v>
      </c>
      <c r="J63" s="64" t="s">
        <v>59</v>
      </c>
      <c r="K63" s="65" t="s">
        <v>32</v>
      </c>
    </row>
    <row r="64" spans="1:11" ht="6.75" customHeight="1">
      <c r="A64" s="101"/>
      <c r="B64" s="59"/>
      <c r="C64" s="59"/>
      <c r="D64" s="59"/>
      <c r="E64" s="59"/>
      <c r="F64"/>
      <c r="G64" s="63"/>
      <c r="H64" s="64"/>
      <c r="I64" s="212"/>
      <c r="J64" s="64"/>
      <c r="K64" s="65"/>
    </row>
    <row r="65" spans="1:11" ht="15">
      <c r="A65" s="3" t="s">
        <v>112</v>
      </c>
      <c r="B65" s="186"/>
      <c r="C65" s="60" t="s">
        <v>0</v>
      </c>
      <c r="F65"/>
      <c r="G65" s="75"/>
      <c r="H65" s="67">
        <f>B65</f>
        <v>0</v>
      </c>
      <c r="I65" s="204" t="s">
        <v>0</v>
      </c>
      <c r="J65" s="206" t="str">
        <f>IF(B65="","Req'd")</f>
        <v>Req'd</v>
      </c>
      <c r="K65" s="69"/>
    </row>
    <row r="66" spans="1:11" s="8" customFormat="1" ht="15">
      <c r="B66" s="59"/>
      <c r="C66" s="59"/>
      <c r="D66" s="59"/>
      <c r="E66" s="59"/>
      <c r="F66" s="100"/>
      <c r="G66" s="100"/>
      <c r="H66" s="100"/>
      <c r="I66" s="100"/>
      <c r="J66" s="202"/>
      <c r="K66" s="202"/>
    </row>
    <row r="67" spans="1:11" ht="15">
      <c r="A67" s="99" t="s">
        <v>125</v>
      </c>
      <c r="B67" s="98"/>
      <c r="C67" s="98"/>
      <c r="D67" s="98"/>
      <c r="E67" s="98"/>
      <c r="F67"/>
      <c r="G67"/>
      <c r="H67"/>
      <c r="I67"/>
      <c r="J67" s="1"/>
      <c r="K67" s="1"/>
    </row>
    <row r="68" spans="1:11" ht="6.75" customHeight="1">
      <c r="A68" s="101"/>
      <c r="B68" s="59"/>
      <c r="C68" s="59"/>
      <c r="D68" s="59"/>
      <c r="E68" s="59"/>
      <c r="F68"/>
      <c r="G68"/>
      <c r="H68"/>
      <c r="I68"/>
      <c r="J68" s="1"/>
      <c r="K68" s="1"/>
    </row>
    <row r="69" spans="1:11" ht="15">
      <c r="A69" s="3" t="s">
        <v>138</v>
      </c>
      <c r="B69" s="186"/>
      <c r="C69" s="60" t="s">
        <v>126</v>
      </c>
      <c r="F69"/>
      <c r="G69" s="72">
        <f>B69</f>
        <v>0</v>
      </c>
      <c r="H69" s="71">
        <f>IF(ISNUMBER(B69),G69,IF(ISNUMBER(B70),G70,IF(ISNUMBER(B71),G71,G72)))</f>
        <v>0</v>
      </c>
      <c r="I69" s="204" t="s">
        <v>3</v>
      </c>
      <c r="J69" s="206" t="b">
        <f>IF(OR(B70&lt;&gt;"",B71&lt;&gt;""),"N/A")</f>
        <v>0</v>
      </c>
      <c r="K69" s="69"/>
    </row>
    <row r="70" spans="1:11" ht="15">
      <c r="A70" s="58" t="s">
        <v>50</v>
      </c>
      <c r="B70" s="186"/>
      <c r="C70" s="60" t="s">
        <v>127</v>
      </c>
      <c r="F70"/>
      <c r="G70" s="72">
        <f>B70/H$93</f>
        <v>0</v>
      </c>
      <c r="H70" s="76"/>
      <c r="I70" s="211"/>
      <c r="J70" s="206" t="b">
        <f>IF(OR(B69&lt;&gt;"",B71&lt;&gt;""),"N/A")</f>
        <v>0</v>
      </c>
      <c r="K70" s="69"/>
    </row>
    <row r="71" spans="1:11" ht="15">
      <c r="A71" s="58" t="s">
        <v>50</v>
      </c>
      <c r="B71" s="186"/>
      <c r="C71" s="60" t="s">
        <v>54</v>
      </c>
      <c r="F71"/>
      <c r="G71" s="72">
        <f>B71/1000000*28.01/386.1*H$94*(20.946/(20.946-3))</f>
        <v>0</v>
      </c>
      <c r="H71" s="76"/>
      <c r="I71" s="211"/>
      <c r="J71" s="206" t="b">
        <f>IF(OR(B69&lt;&gt;"",B70&lt;&gt;""),"N/A")</f>
        <v>0</v>
      </c>
      <c r="K71" s="69"/>
    </row>
    <row r="72" spans="1:11" ht="15">
      <c r="A72" s="58" t="s">
        <v>135</v>
      </c>
      <c r="B72" s="228"/>
      <c r="C72" s="60" t="s">
        <v>54</v>
      </c>
      <c r="F72"/>
      <c r="G72" s="72">
        <f>B72/1000000*28.01/386.1*H$94*(20.946/(20.946-3))</f>
        <v>0</v>
      </c>
      <c r="H72" s="76"/>
      <c r="I72" s="211"/>
      <c r="J72" s="206" t="b">
        <f>IF(COUNTA(B69:B71)&gt;0,"N/A",FALSE)</f>
        <v>0</v>
      </c>
      <c r="K72" s="69"/>
    </row>
    <row r="73" spans="1:11" ht="15">
      <c r="F73"/>
      <c r="G73"/>
      <c r="H73"/>
      <c r="I73"/>
      <c r="J73" s="1"/>
      <c r="K73" s="1"/>
    </row>
    <row r="74" spans="1:11" ht="15">
      <c r="A74" s="3" t="s">
        <v>128</v>
      </c>
      <c r="B74" s="186"/>
      <c r="C74" s="60" t="s">
        <v>126</v>
      </c>
      <c r="F74"/>
      <c r="G74" s="72">
        <f>B74</f>
        <v>0</v>
      </c>
      <c r="H74" s="71">
        <f>IF(ISNUMBER(B74),G74,IF(ISNUMBER(B75),G75,IF(ISNUMBER(B76),G76,G77)))</f>
        <v>0</v>
      </c>
      <c r="I74" s="204" t="s">
        <v>3</v>
      </c>
      <c r="J74" s="206" t="str">
        <f>IF(COUNTA(B74:B77)=0,"Req'd",IF(OR(B75&lt;&gt;"",B76&lt;&gt;"",B77&lt;&gt;""),"N/A"))</f>
        <v>Req'd</v>
      </c>
      <c r="K74" s="69"/>
    </row>
    <row r="75" spans="1:11" ht="15">
      <c r="A75" s="58" t="s">
        <v>50</v>
      </c>
      <c r="B75" s="186"/>
      <c r="C75" s="60" t="s">
        <v>127</v>
      </c>
      <c r="F75"/>
      <c r="G75" s="72">
        <f>B75/H$93</f>
        <v>0</v>
      </c>
      <c r="H75" s="76"/>
      <c r="I75" s="211"/>
      <c r="J75" s="206" t="str">
        <f>IF(COUNTA(B74:B77)=0,"Req'd",IF(OR(B74&lt;&gt;"",B76&lt;&gt;"",B77&lt;&gt;""),"N/A"))</f>
        <v>Req'd</v>
      </c>
      <c r="K75" s="69"/>
    </row>
    <row r="76" spans="1:11" ht="15">
      <c r="A76" s="58" t="s">
        <v>50</v>
      </c>
      <c r="B76" s="186"/>
      <c r="C76" s="60" t="s">
        <v>54</v>
      </c>
      <c r="F76"/>
      <c r="G76" s="72">
        <f>B76/1000000*28.01/386.1*H$94*(20.946/(20.946-3))</f>
        <v>0</v>
      </c>
      <c r="H76" s="76"/>
      <c r="I76" s="211"/>
      <c r="J76" s="206" t="str">
        <f>IF(COUNTA(B74:B77)=0,"Req'd",IF(OR(B74&lt;&gt;"",B75&lt;&gt;"",B77&lt;&gt;""),"N/A"))</f>
        <v>Req'd</v>
      </c>
      <c r="K76" s="69"/>
    </row>
    <row r="77" spans="1:11" ht="15">
      <c r="A77" s="58" t="s">
        <v>50</v>
      </c>
      <c r="B77" s="203"/>
      <c r="C77" s="60" t="s">
        <v>131</v>
      </c>
      <c r="F77"/>
      <c r="G77" s="72">
        <f>(1-B77)*H69</f>
        <v>0</v>
      </c>
      <c r="H77" s="76"/>
      <c r="I77" s="211"/>
      <c r="J77" s="206" t="str">
        <f>IF(COUNTA(B74:B77)=0,"Req'd",IF(OR(B74&lt;&gt;"",B75&lt;&gt;"",B76&lt;&gt;""),"N/A"))</f>
        <v>Req'd</v>
      </c>
      <c r="K77" s="69"/>
    </row>
    <row r="78" spans="1:11" ht="15">
      <c r="A78" s="8"/>
      <c r="B78" s="59"/>
      <c r="C78" s="59"/>
      <c r="D78" s="59"/>
      <c r="E78" s="59"/>
      <c r="F78"/>
      <c r="G78"/>
      <c r="H78"/>
      <c r="I78"/>
      <c r="J78" s="1"/>
      <c r="K78" s="1"/>
    </row>
    <row r="79" spans="1:11" ht="15">
      <c r="A79" s="99" t="s">
        <v>130</v>
      </c>
      <c r="B79" s="98"/>
      <c r="C79" s="98"/>
      <c r="D79" s="98"/>
      <c r="E79" s="98"/>
      <c r="F79"/>
      <c r="G79"/>
      <c r="H79"/>
      <c r="I79"/>
      <c r="J79" s="1"/>
      <c r="K79" s="1"/>
    </row>
    <row r="80" spans="1:11" ht="6.75" customHeight="1">
      <c r="A80" s="101"/>
      <c r="B80" s="59"/>
      <c r="C80" s="59"/>
      <c r="D80" s="59"/>
      <c r="E80" s="59"/>
      <c r="F80"/>
      <c r="G80"/>
      <c r="H80"/>
      <c r="I80"/>
      <c r="J80" s="1"/>
      <c r="K80" s="1"/>
    </row>
    <row r="81" spans="1:11" ht="15">
      <c r="A81" s="3" t="s">
        <v>139</v>
      </c>
      <c r="B81" s="186"/>
      <c r="C81" s="60" t="s">
        <v>132</v>
      </c>
      <c r="F81"/>
      <c r="G81" s="72">
        <f>B81</f>
        <v>0</v>
      </c>
      <c r="H81" s="71">
        <f>IF(ISNUMBER(B81),G81,IF(ISNUMBER(B82),G82,IF(ISNUMBER(B83),G83,G84)))</f>
        <v>5.2380952380952379E-3</v>
      </c>
      <c r="I81" s="204" t="s">
        <v>3</v>
      </c>
      <c r="J81" s="206" t="b">
        <f>IF(OR(B82&lt;&gt;"",B83&lt;&gt;""),"N/A")</f>
        <v>0</v>
      </c>
      <c r="K81" s="69"/>
    </row>
    <row r="82" spans="1:11" ht="15">
      <c r="A82" s="58" t="s">
        <v>50</v>
      </c>
      <c r="B82" s="186"/>
      <c r="C82" s="60" t="s">
        <v>133</v>
      </c>
      <c r="F82"/>
      <c r="G82" s="72">
        <f>B82/H$93</f>
        <v>0</v>
      </c>
      <c r="H82" s="76"/>
      <c r="I82" s="211"/>
      <c r="J82" s="206" t="b">
        <f>IF(OR(B81&lt;&gt;"",B83&lt;&gt;""),"N/A")</f>
        <v>0</v>
      </c>
      <c r="K82" s="69"/>
    </row>
    <row r="83" spans="1:11" ht="15">
      <c r="A83" s="58" t="s">
        <v>50</v>
      </c>
      <c r="B83" s="186"/>
      <c r="C83" s="60" t="s">
        <v>136</v>
      </c>
      <c r="F83"/>
      <c r="G83" s="72">
        <f>B83/1000000*16.04/386.1*H$94*(20.946/(20.946-3))</f>
        <v>0</v>
      </c>
      <c r="H83" s="76"/>
      <c r="I83" s="211"/>
      <c r="J83" s="206" t="b">
        <f>IF(OR(B81&lt;&gt;"",B82&lt;&gt;""),"N/A")</f>
        <v>0</v>
      </c>
      <c r="K83" s="69"/>
    </row>
    <row r="84" spans="1:11" ht="15">
      <c r="A84" s="58" t="s">
        <v>135</v>
      </c>
      <c r="B84" s="215">
        <v>5.5</v>
      </c>
      <c r="C84" s="60" t="s">
        <v>133</v>
      </c>
      <c r="F84"/>
      <c r="G84" s="72">
        <f>B84/H$93</f>
        <v>5.2380952380952379E-3</v>
      </c>
      <c r="H84" s="76"/>
      <c r="I84" s="211"/>
      <c r="J84" s="206" t="b">
        <f>IF(COUNTA(B81:B83)&gt;0,"N/A",FALSE)</f>
        <v>0</v>
      </c>
      <c r="K84" s="69"/>
    </row>
    <row r="85" spans="1:11" ht="15">
      <c r="F85"/>
      <c r="G85"/>
      <c r="H85"/>
      <c r="I85"/>
      <c r="J85" s="1"/>
      <c r="K85" s="1"/>
    </row>
    <row r="86" spans="1:11" ht="15">
      <c r="A86" s="3" t="s">
        <v>134</v>
      </c>
      <c r="B86" s="186"/>
      <c r="C86" s="60" t="s">
        <v>132</v>
      </c>
      <c r="F86"/>
      <c r="G86" s="72">
        <f>B86</f>
        <v>0</v>
      </c>
      <c r="H86" s="71">
        <f>IF(ISNUMBER(B86),G86,IF(ISNUMBER(B87),G87,IF(ISNUMBER(B88),G88,G89)))</f>
        <v>5.2380952380952379E-3</v>
      </c>
      <c r="I86" s="204" t="s">
        <v>3</v>
      </c>
      <c r="J86" s="206" t="str">
        <f>IF(COUNTA(B86:B89)=0,"Req'd",IF(OR(B87&lt;&gt;"",B88&lt;&gt;"",B89&lt;&gt;""),"N/A"))</f>
        <v>Req'd</v>
      </c>
      <c r="K86" s="69"/>
    </row>
    <row r="87" spans="1:11" ht="15">
      <c r="A87" s="58" t="s">
        <v>50</v>
      </c>
      <c r="B87" s="186"/>
      <c r="C87" s="60" t="s">
        <v>133</v>
      </c>
      <c r="F87"/>
      <c r="G87" s="72">
        <f>B87/H$93</f>
        <v>0</v>
      </c>
      <c r="H87" s="76"/>
      <c r="I87" s="211"/>
      <c r="J87" s="206" t="str">
        <f>IF(COUNTA(B86:B89)=0,"Req'd",IF(OR(B86&lt;&gt;"",B88&lt;&gt;"",B89&lt;&gt;""),"N/A"))</f>
        <v>Req'd</v>
      </c>
      <c r="K87" s="69"/>
    </row>
    <row r="88" spans="1:11" ht="15">
      <c r="A88" s="58" t="s">
        <v>50</v>
      </c>
      <c r="B88" s="186"/>
      <c r="C88" s="60" t="s">
        <v>136</v>
      </c>
      <c r="F88"/>
      <c r="G88" s="72">
        <f>B88/1000000*16.04/386.1*H$94*(20.946/(20.946-3))</f>
        <v>0</v>
      </c>
      <c r="H88" s="76"/>
      <c r="I88" s="211"/>
      <c r="J88" s="206" t="str">
        <f>IF(COUNTA(B86:B89)=0,"Req'd",IF(OR(B86&lt;&gt;"",B87&lt;&gt;"",B89&lt;&gt;""),"N/A"))</f>
        <v>Req'd</v>
      </c>
      <c r="K88" s="69"/>
    </row>
    <row r="89" spans="1:11" ht="15">
      <c r="A89" s="58" t="s">
        <v>50</v>
      </c>
      <c r="B89" s="203"/>
      <c r="C89" s="60" t="s">
        <v>129</v>
      </c>
      <c r="F89"/>
      <c r="G89" s="72">
        <f>(1-B89)*H81</f>
        <v>5.2380952380952379E-3</v>
      </c>
      <c r="H89" s="76"/>
      <c r="I89" s="211"/>
      <c r="J89" s="206" t="str">
        <f>IF(COUNTA(B86:B89)=0,"Req'd",IF(OR(B86&lt;&gt;"",B87&lt;&gt;"",B88&lt;&gt;""),"N/A"))</f>
        <v>Req'd</v>
      </c>
      <c r="K89" s="69"/>
    </row>
    <row r="90" spans="1:11" ht="15">
      <c r="A90" s="8"/>
      <c r="B90" s="59"/>
      <c r="C90" s="59"/>
      <c r="D90" s="59"/>
      <c r="E90" s="59"/>
      <c r="F90"/>
      <c r="G90"/>
      <c r="H90"/>
      <c r="I90"/>
      <c r="J90" s="1"/>
      <c r="K90" s="1"/>
    </row>
    <row r="91" spans="1:11" ht="15">
      <c r="A91" s="99" t="s">
        <v>89</v>
      </c>
      <c r="B91" s="98"/>
      <c r="C91" s="98"/>
      <c r="D91" s="98"/>
      <c r="E91" s="98"/>
      <c r="F91"/>
      <c r="G91"/>
      <c r="H91"/>
      <c r="I91"/>
      <c r="J91" s="1"/>
      <c r="K91" s="1"/>
    </row>
    <row r="92" spans="1:11" ht="6.75" customHeight="1">
      <c r="A92" s="101"/>
      <c r="B92" s="59"/>
      <c r="C92" s="59"/>
      <c r="D92" s="59"/>
      <c r="E92" s="59"/>
      <c r="F92"/>
      <c r="G92"/>
      <c r="H92"/>
      <c r="I92"/>
      <c r="J92" s="1"/>
      <c r="K92" s="1"/>
    </row>
    <row r="93" spans="1:11" ht="15">
      <c r="A93" s="3" t="str">
        <f>"HHV  [Default: "&amp;H93&amp;" " &amp; C93&amp;"]"</f>
        <v>HHV  [Default: 1050 Btu/scf]</v>
      </c>
      <c r="B93" s="186"/>
      <c r="C93" s="60" t="s">
        <v>5</v>
      </c>
      <c r="F93"/>
      <c r="G93" s="66">
        <v>1050</v>
      </c>
      <c r="H93" s="67">
        <f>IF(ISNUMBER(B93),B93,G93)</f>
        <v>1050</v>
      </c>
      <c r="I93" s="204" t="s">
        <v>5</v>
      </c>
      <c r="J93" s="206" t="b">
        <v>0</v>
      </c>
      <c r="K93" s="69"/>
    </row>
    <row r="94" spans="1:11" ht="15">
      <c r="A94" s="3" t="str">
        <f>"F-factor (dry)  [Default: "&amp;H94&amp;" " &amp; C94&amp;"]"</f>
        <v>F-factor (dry)  [Default: 8710 dscf/MMBtu]</v>
      </c>
      <c r="B94" s="186"/>
      <c r="C94" s="60" t="s">
        <v>33</v>
      </c>
      <c r="F94"/>
      <c r="G94" s="66">
        <v>8710</v>
      </c>
      <c r="H94" s="67">
        <f>IF(ISNUMBER(B94),B94,G94)</f>
        <v>8710</v>
      </c>
      <c r="I94" s="204" t="s">
        <v>33</v>
      </c>
      <c r="J94" s="206" t="b">
        <v>0</v>
      </c>
      <c r="K94" s="69"/>
    </row>
    <row r="95" spans="1:11" ht="15">
      <c r="A95" s="8"/>
      <c r="B95" s="59"/>
      <c r="C95" s="59"/>
      <c r="D95" s="59"/>
      <c r="E95" s="59"/>
      <c r="F95"/>
      <c r="G95"/>
      <c r="H95"/>
      <c r="I95"/>
      <c r="J95" s="1"/>
      <c r="K95" s="1"/>
    </row>
    <row r="96" spans="1:11" ht="15">
      <c r="A96" s="99" t="s">
        <v>90</v>
      </c>
      <c r="B96" s="98"/>
      <c r="C96" s="98"/>
      <c r="D96" s="98"/>
      <c r="E96" s="98"/>
      <c r="F96"/>
      <c r="G96"/>
      <c r="H96"/>
      <c r="I96"/>
      <c r="J96" s="1"/>
      <c r="K96" s="1"/>
    </row>
    <row r="97" spans="1:11" ht="6.75" customHeight="1">
      <c r="A97" s="101"/>
      <c r="B97" s="59"/>
      <c r="C97" s="59"/>
      <c r="D97" s="59"/>
      <c r="E97" s="59"/>
      <c r="F97"/>
      <c r="G97"/>
      <c r="H97"/>
      <c r="I97"/>
      <c r="J97" s="1"/>
      <c r="K97" s="1"/>
    </row>
    <row r="98" spans="1:11" ht="15">
      <c r="A98" s="3" t="str">
        <f>"Max annual op hours [Default: "&amp;G98&amp;" " &amp; C98&amp;"]"</f>
        <v>Max annual op hours [Default: 8760 hr/yr]</v>
      </c>
      <c r="B98" s="186"/>
      <c r="C98" s="60" t="s">
        <v>30</v>
      </c>
      <c r="F98"/>
      <c r="G98" s="66">
        <v>8760</v>
      </c>
      <c r="H98" s="67">
        <f>IF(ISNUMBER(B98),B98,G98)</f>
        <v>8760</v>
      </c>
      <c r="I98" s="204" t="s">
        <v>43</v>
      </c>
      <c r="J98" s="206" t="b">
        <v>0</v>
      </c>
      <c r="K98" s="69"/>
    </row>
    <row r="99" spans="1:11" ht="15">
      <c r="A99" s="8"/>
      <c r="B99" s="59"/>
      <c r="C99" s="59"/>
      <c r="D99" s="59"/>
      <c r="E99" s="59"/>
      <c r="F99"/>
      <c r="G99"/>
      <c r="H99"/>
      <c r="I99"/>
      <c r="J99" s="1"/>
      <c r="K99" s="1"/>
    </row>
    <row r="100" spans="1:11" ht="15">
      <c r="A100" s="99" t="s">
        <v>58</v>
      </c>
      <c r="B100" s="98"/>
      <c r="C100" s="98"/>
      <c r="D100" s="98"/>
      <c r="E100" s="98"/>
      <c r="F100"/>
      <c r="G100"/>
      <c r="H100"/>
      <c r="I100"/>
      <c r="J100" s="1"/>
      <c r="K100" s="1"/>
    </row>
    <row r="101" spans="1:11" ht="6.75" customHeight="1">
      <c r="A101" s="101"/>
      <c r="B101" s="59"/>
      <c r="C101" s="59"/>
      <c r="D101" s="59"/>
      <c r="E101" s="59"/>
      <c r="F101"/>
      <c r="G101"/>
      <c r="H101"/>
      <c r="I101"/>
      <c r="J101" s="1"/>
      <c r="K101" s="1"/>
    </row>
    <row r="102" spans="1:11" ht="15">
      <c r="A102" s="3" t="s">
        <v>57</v>
      </c>
      <c r="B102" s="186"/>
      <c r="C102" s="60" t="s">
        <v>42</v>
      </c>
      <c r="F102"/>
      <c r="G102" s="75"/>
      <c r="H102" s="67">
        <f>B102</f>
        <v>0</v>
      </c>
      <c r="I102" s="204" t="str">
        <f>C102</f>
        <v>kW</v>
      </c>
      <c r="J102" s="206" t="str">
        <f>IF(B102="","Req'd")</f>
        <v>Req'd</v>
      </c>
      <c r="K102" s="69"/>
    </row>
    <row r="103" spans="1:11" ht="15">
      <c r="A103" s="3" t="str">
        <f>"Electricity Cost  [Default: "&amp;G103&amp;" " &amp; C103&amp;"]"</f>
        <v>Electricity Cost  [Default: 0.1572 $/kWh]</v>
      </c>
      <c r="B103" s="186"/>
      <c r="C103" s="60" t="s">
        <v>6</v>
      </c>
      <c r="F103"/>
      <c r="G103" s="66">
        <v>0.15720000000000001</v>
      </c>
      <c r="H103" s="77">
        <f>IF(ISNUMBER(B103),B103,G103)</f>
        <v>0.15720000000000001</v>
      </c>
      <c r="I103" s="204" t="s">
        <v>6</v>
      </c>
      <c r="J103" s="206" t="b">
        <v>0</v>
      </c>
      <c r="K103" s="69"/>
    </row>
    <row r="104" spans="1:11" ht="15">
      <c r="A104" s="8"/>
      <c r="B104" s="59"/>
      <c r="C104" s="59"/>
      <c r="D104" s="59"/>
      <c r="E104" s="59"/>
      <c r="F104"/>
      <c r="G104"/>
      <c r="H104"/>
      <c r="I104"/>
      <c r="J104"/>
      <c r="K104"/>
    </row>
    <row r="105" spans="1:11" ht="15">
      <c r="A105" s="99" t="s">
        <v>60</v>
      </c>
      <c r="B105" s="98"/>
      <c r="C105" s="98"/>
      <c r="D105" s="98"/>
      <c r="E105" s="98"/>
      <c r="F105"/>
      <c r="G105"/>
      <c r="H105"/>
      <c r="I105"/>
      <c r="J105"/>
      <c r="K105"/>
    </row>
    <row r="106" spans="1:11" ht="6.75" customHeight="1">
      <c r="A106" s="101"/>
      <c r="B106" s="59"/>
      <c r="C106" s="59"/>
      <c r="D106" s="59"/>
      <c r="E106" s="59"/>
      <c r="F106"/>
      <c r="G106"/>
      <c r="H106"/>
      <c r="I106"/>
      <c r="J106"/>
      <c r="K106"/>
    </row>
    <row r="107" spans="1:11" ht="15">
      <c r="A107" s="3" t="s">
        <v>74</v>
      </c>
      <c r="B107" s="190"/>
      <c r="F107"/>
      <c r="G107" s="75"/>
      <c r="H107" s="73">
        <f>B107</f>
        <v>0</v>
      </c>
      <c r="I107" s="204" t="s">
        <v>61</v>
      </c>
      <c r="J107" s="206" t="str">
        <f>IF(B107="","Req'd")</f>
        <v>Req'd</v>
      </c>
      <c r="K107" s="69"/>
    </row>
    <row r="108" spans="1:11" ht="15">
      <c r="A108" s="3" t="s">
        <v>73</v>
      </c>
      <c r="B108" s="186"/>
      <c r="C108" s="60" t="s">
        <v>37</v>
      </c>
      <c r="F108"/>
      <c r="G108" s="75"/>
      <c r="H108" s="67">
        <f>B108</f>
        <v>0</v>
      </c>
      <c r="I108" s="204" t="s">
        <v>37</v>
      </c>
      <c r="J108" s="206" t="str">
        <f>IF(B108="","Req'd")</f>
        <v>Req'd</v>
      </c>
      <c r="K108" s="69"/>
    </row>
    <row r="109" spans="1:11" ht="15">
      <c r="A109" s="3" t="s">
        <v>75</v>
      </c>
      <c r="B109" s="190"/>
      <c r="F109"/>
      <c r="G109" s="74">
        <f>H107</f>
        <v>0</v>
      </c>
      <c r="H109" s="73">
        <f>IF(ISNUMBER(B109),B109,G109)</f>
        <v>0</v>
      </c>
      <c r="I109" s="204" t="s">
        <v>61</v>
      </c>
      <c r="J109" s="213" t="b">
        <v>0</v>
      </c>
      <c r="K109" s="69"/>
    </row>
    <row r="110" spans="1:11" ht="15">
      <c r="A110" s="8"/>
      <c r="B110" s="59"/>
      <c r="C110" s="59"/>
      <c r="D110" s="59"/>
      <c r="E110" s="59"/>
      <c r="F110"/>
      <c r="G110"/>
      <c r="H110"/>
      <c r="I110"/>
      <c r="J110"/>
      <c r="K110"/>
    </row>
    <row r="111" spans="1:11" ht="15">
      <c r="F111"/>
      <c r="G111"/>
      <c r="J111"/>
      <c r="K111"/>
    </row>
    <row r="112" spans="1:11">
      <c r="A112" s="10"/>
      <c r="B112" s="10"/>
      <c r="C112" s="10"/>
      <c r="D112" s="16"/>
      <c r="E112" s="10"/>
      <c r="F112" s="3"/>
      <c r="G112" s="10"/>
      <c r="H112" s="17"/>
      <c r="I112" s="18"/>
      <c r="J112" s="10"/>
      <c r="K112" s="10"/>
    </row>
    <row r="113" spans="1:11">
      <c r="A113" s="10"/>
      <c r="B113" s="26"/>
      <c r="C113" s="26"/>
      <c r="D113" s="26"/>
      <c r="E113" s="26"/>
      <c r="F113" s="26"/>
      <c r="G113" s="10"/>
      <c r="H113" s="26"/>
      <c r="I113" s="26"/>
      <c r="J113" s="10"/>
      <c r="K113" s="10"/>
    </row>
    <row r="114" spans="1:11">
      <c r="A114" s="10"/>
      <c r="B114" s="26"/>
      <c r="C114" s="26"/>
      <c r="D114" s="26"/>
      <c r="E114" s="26"/>
      <c r="F114" s="26"/>
      <c r="G114" s="10"/>
      <c r="H114" s="26"/>
      <c r="I114" s="26"/>
      <c r="J114" s="10"/>
      <c r="K114" s="10"/>
    </row>
    <row r="115" spans="1:11">
      <c r="A115" s="10"/>
      <c r="B115" s="26"/>
      <c r="C115" s="26"/>
      <c r="D115" s="26"/>
      <c r="E115" s="26"/>
      <c r="F115" s="26"/>
      <c r="G115" s="10"/>
      <c r="H115" s="26"/>
      <c r="I115" s="26"/>
      <c r="J115" s="10"/>
      <c r="K115" s="10"/>
    </row>
    <row r="116" spans="1:11">
      <c r="A116" s="10"/>
      <c r="B116" s="26"/>
      <c r="C116" s="26"/>
      <c r="D116" s="26"/>
      <c r="E116" s="26"/>
      <c r="F116" s="26"/>
      <c r="G116" s="10"/>
      <c r="H116" s="26"/>
      <c r="I116" s="26"/>
      <c r="J116" s="10"/>
      <c r="K116" s="10"/>
    </row>
    <row r="117" spans="1:11">
      <c r="A117" s="10"/>
      <c r="B117" s="26"/>
      <c r="C117" s="26"/>
      <c r="D117" s="26"/>
      <c r="E117" s="26"/>
      <c r="F117" s="26"/>
      <c r="G117" s="10"/>
      <c r="H117" s="26"/>
      <c r="I117" s="26"/>
      <c r="J117" s="10"/>
      <c r="K117" s="10"/>
    </row>
    <row r="118" spans="1:11">
      <c r="A118" s="10"/>
      <c r="B118" s="26"/>
      <c r="C118" s="26"/>
      <c r="D118" s="26"/>
      <c r="E118" s="26"/>
      <c r="F118" s="26"/>
      <c r="G118" s="10"/>
      <c r="H118" s="26"/>
      <c r="I118" s="26"/>
      <c r="J118" s="10"/>
      <c r="K118" s="10"/>
    </row>
    <row r="119" spans="1:11">
      <c r="A119" s="10"/>
      <c r="B119" s="26"/>
      <c r="C119" s="26"/>
      <c r="D119" s="26"/>
      <c r="E119" s="26"/>
      <c r="F119" s="26"/>
      <c r="G119" s="10"/>
      <c r="H119" s="26"/>
      <c r="I119" s="26"/>
      <c r="J119" s="10"/>
      <c r="K119" s="10"/>
    </row>
    <row r="120" spans="1:11">
      <c r="A120" s="10"/>
      <c r="B120" s="26"/>
      <c r="C120" s="26"/>
      <c r="D120" s="26"/>
      <c r="E120" s="26"/>
      <c r="F120" s="26"/>
      <c r="G120" s="10"/>
      <c r="H120" s="26"/>
      <c r="I120" s="26"/>
      <c r="J120" s="10"/>
      <c r="K120" s="10"/>
    </row>
    <row r="121" spans="1:11">
      <c r="A121" s="10"/>
      <c r="B121" s="26"/>
      <c r="C121" s="26"/>
      <c r="D121" s="26"/>
      <c r="E121" s="26"/>
      <c r="F121" s="26"/>
      <c r="G121" s="10"/>
      <c r="H121" s="26"/>
      <c r="I121" s="26"/>
      <c r="J121" s="10"/>
      <c r="K121" s="10"/>
    </row>
    <row r="122" spans="1:11">
      <c r="A122" s="10"/>
      <c r="B122" s="26"/>
      <c r="C122" s="26"/>
      <c r="D122" s="26"/>
      <c r="E122" s="26"/>
      <c r="F122" s="26"/>
      <c r="G122" s="10"/>
      <c r="H122" s="26"/>
      <c r="I122" s="26"/>
      <c r="J122" s="10"/>
      <c r="K122" s="10"/>
    </row>
    <row r="123" spans="1:11">
      <c r="A123" s="10"/>
      <c r="B123" s="26"/>
      <c r="C123" s="26"/>
      <c r="D123" s="26"/>
      <c r="E123" s="26"/>
      <c r="F123" s="26"/>
      <c r="G123" s="10"/>
      <c r="H123" s="26"/>
      <c r="I123" s="26"/>
      <c r="J123" s="10"/>
      <c r="K123" s="10"/>
    </row>
    <row r="124" spans="1:11">
      <c r="A124" s="10"/>
      <c r="B124" s="26"/>
      <c r="C124" s="26"/>
      <c r="D124" s="26"/>
      <c r="E124" s="26"/>
      <c r="F124" s="26"/>
      <c r="G124" s="10"/>
      <c r="H124" s="26"/>
      <c r="I124" s="26"/>
      <c r="J124" s="10"/>
      <c r="K124" s="10"/>
    </row>
    <row r="125" spans="1:11">
      <c r="A125" s="10"/>
      <c r="B125" s="26"/>
      <c r="C125" s="26"/>
      <c r="D125" s="26"/>
      <c r="E125" s="26"/>
      <c r="F125" s="26"/>
      <c r="G125" s="10"/>
      <c r="H125" s="26"/>
      <c r="I125" s="26"/>
      <c r="J125" s="10"/>
      <c r="K125" s="10"/>
    </row>
    <row r="126" spans="1:11">
      <c r="A126" s="10"/>
      <c r="B126" s="26"/>
      <c r="C126" s="26"/>
      <c r="D126" s="26"/>
      <c r="E126" s="26"/>
      <c r="F126" s="26"/>
      <c r="G126" s="10"/>
      <c r="H126" s="26"/>
      <c r="I126" s="26"/>
      <c r="J126" s="10"/>
      <c r="K126" s="10"/>
    </row>
    <row r="127" spans="1:11">
      <c r="A127" s="10"/>
      <c r="B127" s="26"/>
      <c r="C127" s="26"/>
      <c r="D127" s="26"/>
      <c r="E127" s="26"/>
      <c r="F127" s="26"/>
      <c r="G127" s="10"/>
      <c r="H127" s="26"/>
      <c r="I127" s="26"/>
      <c r="J127" s="10"/>
      <c r="K127" s="10"/>
    </row>
    <row r="128" spans="1:11">
      <c r="A128" s="10"/>
      <c r="B128" s="26"/>
      <c r="C128" s="26"/>
      <c r="D128" s="26"/>
      <c r="E128" s="26"/>
      <c r="F128" s="26"/>
      <c r="G128" s="10"/>
      <c r="H128" s="26"/>
      <c r="I128" s="26"/>
      <c r="J128" s="10"/>
      <c r="K128" s="10"/>
    </row>
  </sheetData>
  <customSheetViews>
    <customSheetView guid="{9BB43D49-5D78-4E4A-AB52-EDF70C494511}" showPageBreaks="1" showGridLines="0" printArea="1" hiddenColumns="1" state="hidden">
      <selection activeCell="A3" sqref="A3"/>
      <pageMargins left="0.7" right="0.7" top="0.75" bottom="0.75" header="0.3" footer="0.3"/>
      <pageSetup scale="45" fitToHeight="2" orientation="portrait" horizontalDpi="300" verticalDpi="300" r:id="rId1"/>
      <headerFooter alignWithMargins="0">
        <oddHeader>&amp;CAttachment B
NOx BACT Analysis
Based on EPA Algorithms for Traditional SCR</oddHeader>
      </headerFooter>
    </customSheetView>
  </customSheetViews>
  <mergeCells count="1">
    <mergeCell ref="A55:E55"/>
  </mergeCells>
  <conditionalFormatting sqref="B14:B42 B56:B57 B44:B54 B59:B71 B73:B78 B85:B110">
    <cfRule type="expression" dxfId="21" priority="17">
      <formula>$J14="N/A"</formula>
    </cfRule>
    <cfRule type="expression" dxfId="20" priority="18">
      <formula>$J14="Req'd"</formula>
    </cfRule>
  </conditionalFormatting>
  <conditionalFormatting sqref="C46:C47">
    <cfRule type="expression" dxfId="19" priority="15">
      <formula>$J46="N/A"</formula>
    </cfRule>
    <cfRule type="expression" dxfId="18" priority="16">
      <formula>$J46="Req'd"</formula>
    </cfRule>
  </conditionalFormatting>
  <conditionalFormatting sqref="C50:C52">
    <cfRule type="expression" dxfId="17" priority="13">
      <formula>$J50="N/A"</formula>
    </cfRule>
    <cfRule type="expression" dxfId="16" priority="14">
      <formula>$J50="Req'd"</formula>
    </cfRule>
  </conditionalFormatting>
  <conditionalFormatting sqref="C48">
    <cfRule type="expression" dxfId="15" priority="11">
      <formula>$J48="N/A"</formula>
    </cfRule>
    <cfRule type="expression" dxfId="14" priority="12">
      <formula>$J48="Req'd"</formula>
    </cfRule>
  </conditionalFormatting>
  <conditionalFormatting sqref="B79:B83">
    <cfRule type="expression" dxfId="13" priority="9">
      <formula>$J79="N/A"</formula>
    </cfRule>
    <cfRule type="expression" dxfId="12" priority="10">
      <formula>$J79="Req'd"</formula>
    </cfRule>
  </conditionalFormatting>
  <conditionalFormatting sqref="B72">
    <cfRule type="expression" dxfId="11" priority="7">
      <formula>$J72="N/A"</formula>
    </cfRule>
    <cfRule type="expression" dxfId="10" priority="8">
      <formula>$J72="Req'd"</formula>
    </cfRule>
  </conditionalFormatting>
  <conditionalFormatting sqref="B84">
    <cfRule type="expression" dxfId="9" priority="3">
      <formula>$J84="N/A"</formula>
    </cfRule>
    <cfRule type="expression" dxfId="8" priority="4">
      <formula>$J84="Req'd"</formula>
    </cfRule>
  </conditionalFormatting>
  <pageMargins left="0.7" right="0.7" top="0.75" bottom="0.75" header="0.3" footer="0.3"/>
  <pageSetup scale="45" fitToHeight="2" orientation="portrait" horizontalDpi="300" verticalDpi="300" r:id="rId2"/>
  <headerFooter alignWithMargins="0">
    <oddHeader>&amp;CAttachment B
NOx BACT Analysis
Based on EPA Algorithms for Traditional SCR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K128"/>
  <sheetViews>
    <sheetView showGridLines="0" zoomScaleNormal="100" workbookViewId="0">
      <selection activeCell="M72" sqref="M72"/>
    </sheetView>
  </sheetViews>
  <sheetFormatPr defaultColWidth="9.140625" defaultRowHeight="12.75"/>
  <cols>
    <col min="1" max="1" width="42" style="3" customWidth="1"/>
    <col min="2" max="2" width="12.7109375" style="4" customWidth="1"/>
    <col min="3" max="6" width="12.42578125" style="4" customWidth="1"/>
    <col min="7" max="7" width="12.42578125" style="3" hidden="1" customWidth="1"/>
    <col min="8" max="9" width="12.42578125" style="4" hidden="1" customWidth="1"/>
    <col min="10" max="10" width="12.42578125" style="3" hidden="1" customWidth="1"/>
    <col min="11" max="11" width="25.5703125" style="3" hidden="1" customWidth="1"/>
    <col min="12" max="16384" width="9.140625" style="3"/>
  </cols>
  <sheetData>
    <row r="1" spans="1:11">
      <c r="G1" s="151"/>
      <c r="H1" s="57"/>
      <c r="I1" s="57"/>
      <c r="J1" s="151"/>
      <c r="K1" s="151"/>
    </row>
    <row r="2" spans="1:11" ht="18.75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75">
      <c r="A3" s="2" t="s">
        <v>140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customFormat="1" ht="15"/>
    <row r="5" spans="1:11" customFormat="1" ht="16.5" thickBot="1">
      <c r="A5" s="6" t="s">
        <v>91</v>
      </c>
      <c r="B5" s="7"/>
      <c r="C5" s="7"/>
      <c r="D5" s="7"/>
      <c r="E5" s="7"/>
    </row>
    <row r="6" spans="1:11" customFormat="1" ht="16.5" thickTop="1">
      <c r="A6" s="102"/>
      <c r="B6" s="59"/>
      <c r="C6" s="59"/>
      <c r="D6" s="59"/>
      <c r="E6" s="59"/>
    </row>
    <row r="7" spans="1:11" customFormat="1" ht="15">
      <c r="A7" s="3" t="s">
        <v>105</v>
      </c>
    </row>
    <row r="8" spans="1:11" customFormat="1" ht="15">
      <c r="A8" s="3" t="s">
        <v>85</v>
      </c>
    </row>
    <row r="9" spans="1:11" customFormat="1" ht="15">
      <c r="A9" s="3"/>
      <c r="D9" s="104"/>
      <c r="E9" s="104"/>
      <c r="F9" s="4"/>
      <c r="K9" s="103"/>
    </row>
    <row r="10" spans="1:11" customFormat="1" ht="15">
      <c r="A10" s="58" t="s">
        <v>142</v>
      </c>
      <c r="B10" s="217" t="s">
        <v>143</v>
      </c>
      <c r="D10" s="104"/>
      <c r="E10" s="104"/>
      <c r="F10" s="4"/>
      <c r="K10" s="103"/>
    </row>
    <row r="11" spans="1:11" customFormat="1" ht="15">
      <c r="A11" s="3"/>
      <c r="D11" s="104"/>
      <c r="E11" s="104"/>
      <c r="F11" s="4"/>
      <c r="K11" s="103"/>
    </row>
    <row r="12" spans="1:11" customFormat="1" ht="30">
      <c r="A12" s="119" t="s">
        <v>95</v>
      </c>
      <c r="B12" s="118" t="s">
        <v>94</v>
      </c>
      <c r="C12" s="135" t="s">
        <v>98</v>
      </c>
      <c r="D12" s="136" t="s">
        <v>99</v>
      </c>
      <c r="E12" s="137"/>
      <c r="F12" s="4"/>
      <c r="G12" s="63" t="s">
        <v>25</v>
      </c>
      <c r="H12" s="64" t="s">
        <v>31</v>
      </c>
      <c r="I12" s="64" t="s">
        <v>34</v>
      </c>
      <c r="J12" s="64" t="s">
        <v>59</v>
      </c>
      <c r="K12" s="65" t="s">
        <v>32</v>
      </c>
    </row>
    <row r="13" spans="1:11" customFormat="1" ht="15">
      <c r="K13" s="221"/>
    </row>
    <row r="14" spans="1:11" ht="15">
      <c r="A14" s="117" t="s">
        <v>108</v>
      </c>
      <c r="B14" s="177"/>
      <c r="C14" s="120"/>
      <c r="D14" s="38" t="s">
        <v>7</v>
      </c>
      <c r="E14" s="33"/>
      <c r="F14" s="3"/>
      <c r="G14" s="148"/>
      <c r="H14" s="85">
        <f>B14</f>
        <v>0</v>
      </c>
      <c r="I14" s="85" t="s">
        <v>61</v>
      </c>
      <c r="J14" s="169" t="str">
        <f>IF(B14="","Req'd")</f>
        <v>Req'd</v>
      </c>
      <c r="K14" s="222"/>
    </row>
    <row r="15" spans="1:11" customFormat="1" ht="15">
      <c r="K15" s="221"/>
    </row>
    <row r="16" spans="1:11" customFormat="1" ht="15">
      <c r="A16" s="121" t="s">
        <v>92</v>
      </c>
      <c r="B16" s="122"/>
      <c r="C16" s="122"/>
      <c r="D16" s="123"/>
      <c r="E16" s="124"/>
      <c r="F16" s="4"/>
      <c r="K16" s="221"/>
    </row>
    <row r="17" spans="1:11" customFormat="1" ht="30">
      <c r="A17" s="125" t="s">
        <v>47</v>
      </c>
      <c r="B17" s="178"/>
      <c r="C17" s="126">
        <f>0.05*$B$14</f>
        <v>0</v>
      </c>
      <c r="D17" s="39" t="s">
        <v>44</v>
      </c>
      <c r="E17" s="34"/>
      <c r="F17" s="4"/>
      <c r="G17" s="148"/>
      <c r="H17" s="86">
        <f>IF(ISNUMBER(B17),B17,C17)</f>
        <v>0</v>
      </c>
      <c r="I17" s="85" t="s">
        <v>61</v>
      </c>
      <c r="J17" s="143" t="b">
        <v>0</v>
      </c>
      <c r="K17" s="222"/>
    </row>
    <row r="18" spans="1:11" customFormat="1" ht="15">
      <c r="A18" s="127" t="s">
        <v>8</v>
      </c>
      <c r="B18" s="179"/>
      <c r="C18" s="128">
        <f>0.1*$B$14</f>
        <v>0</v>
      </c>
      <c r="D18" s="40" t="s">
        <v>45</v>
      </c>
      <c r="E18" s="35"/>
      <c r="F18" s="4"/>
      <c r="G18" s="148"/>
      <c r="H18" s="86">
        <f>IF(ISNUMBER(B18),B18,C18)</f>
        <v>0</v>
      </c>
      <c r="I18" s="85" t="s">
        <v>61</v>
      </c>
      <c r="J18" s="143" t="b">
        <v>0</v>
      </c>
      <c r="K18" s="222"/>
    </row>
    <row r="19" spans="1:11" customFormat="1" ht="15">
      <c r="A19" s="130" t="s">
        <v>9</v>
      </c>
      <c r="B19" s="180"/>
      <c r="C19" s="131">
        <f>0.05*$B$14</f>
        <v>0</v>
      </c>
      <c r="D19" s="41" t="s">
        <v>44</v>
      </c>
      <c r="E19" s="36"/>
      <c r="F19" s="4"/>
      <c r="G19" s="148"/>
      <c r="H19" s="86">
        <f>IF(ISNUMBER(B19),B19,C19)</f>
        <v>0</v>
      </c>
      <c r="I19" s="85" t="s">
        <v>61</v>
      </c>
      <c r="J19" s="143" t="b">
        <v>0</v>
      </c>
      <c r="K19" s="222"/>
    </row>
    <row r="20" spans="1:11" customFormat="1" ht="15">
      <c r="A20" s="115" t="s">
        <v>10</v>
      </c>
      <c r="B20" s="116">
        <f>H20</f>
        <v>0</v>
      </c>
      <c r="C20" s="129"/>
      <c r="D20" s="42" t="s">
        <v>11</v>
      </c>
      <c r="E20" s="37"/>
      <c r="F20" s="4"/>
      <c r="G20" s="148"/>
      <c r="H20" s="85">
        <f>SUM(H17:H19)</f>
        <v>0</v>
      </c>
      <c r="I20" s="85" t="s">
        <v>61</v>
      </c>
      <c r="J20" s="143"/>
      <c r="K20" s="222"/>
    </row>
    <row r="21" spans="1:11" customFormat="1" ht="15">
      <c r="K21" s="221"/>
    </row>
    <row r="22" spans="1:11" customFormat="1" ht="15">
      <c r="A22" s="121" t="s">
        <v>96</v>
      </c>
      <c r="B22" s="122"/>
      <c r="C22" s="122"/>
      <c r="D22" s="123"/>
      <c r="E22" s="124"/>
      <c r="F22" s="4"/>
      <c r="K22" s="221"/>
    </row>
    <row r="23" spans="1:11" s="5" customFormat="1" ht="15">
      <c r="A23" s="132" t="s">
        <v>12</v>
      </c>
      <c r="B23" s="181"/>
      <c r="C23" s="91">
        <f>0.15*(B14+B20)</f>
        <v>0</v>
      </c>
      <c r="D23" s="80" t="s">
        <v>46</v>
      </c>
      <c r="E23" s="43"/>
      <c r="G23" s="145"/>
      <c r="H23" s="86">
        <f>IF(ISNUMBER(B23),B23,C23)</f>
        <v>0</v>
      </c>
      <c r="I23" s="85" t="s">
        <v>61</v>
      </c>
      <c r="J23" s="143"/>
      <c r="K23" s="223"/>
    </row>
    <row r="24" spans="1:11" s="5" customFormat="1" ht="15">
      <c r="A24" s="170" t="s">
        <v>13</v>
      </c>
      <c r="B24" s="183"/>
      <c r="C24" s="92">
        <f>0.02*SUM(B14,B20,H23)</f>
        <v>0</v>
      </c>
      <c r="D24" s="108" t="s">
        <v>80</v>
      </c>
      <c r="E24" s="45"/>
      <c r="G24" s="145"/>
      <c r="H24" s="86">
        <f>IF(ISNUMBER(B24),B24,C24)</f>
        <v>0</v>
      </c>
      <c r="I24" s="85" t="s">
        <v>61</v>
      </c>
      <c r="J24" s="143"/>
      <c r="K24" s="223"/>
    </row>
    <row r="25" spans="1:11" s="5" customFormat="1" ht="15">
      <c r="A25" s="31" t="s">
        <v>14</v>
      </c>
      <c r="B25" s="94">
        <f>H25</f>
        <v>0</v>
      </c>
      <c r="C25" s="88"/>
      <c r="D25" s="83" t="s">
        <v>113</v>
      </c>
      <c r="E25" s="46"/>
      <c r="G25" s="145"/>
      <c r="H25" s="85">
        <f>SUM(H14,H20,H23,H24)</f>
        <v>0</v>
      </c>
      <c r="I25" s="85" t="s">
        <v>61</v>
      </c>
      <c r="J25" s="143"/>
      <c r="K25" s="223"/>
    </row>
    <row r="26" spans="1:11" ht="15">
      <c r="A26" s="30" t="s">
        <v>19</v>
      </c>
      <c r="B26" s="140">
        <f>B38*B25</f>
        <v>0</v>
      </c>
      <c r="C26" s="139"/>
      <c r="D26" s="79" t="s">
        <v>20</v>
      </c>
      <c r="E26" s="48"/>
      <c r="F26" s="3"/>
      <c r="G26" s="145"/>
      <c r="H26" s="85">
        <f>IF(ISNUMBER(B26),B26,C26)</f>
        <v>0</v>
      </c>
      <c r="I26" s="85"/>
      <c r="J26" s="143"/>
      <c r="K26" s="224" t="s">
        <v>145</v>
      </c>
    </row>
    <row r="27" spans="1:11" ht="15">
      <c r="G27"/>
      <c r="H27"/>
      <c r="I27"/>
      <c r="J27"/>
      <c r="K27" s="221"/>
    </row>
    <row r="28" spans="1:11" customFormat="1" ht="15">
      <c r="A28" s="105" t="s">
        <v>97</v>
      </c>
      <c r="B28" s="106"/>
      <c r="C28" s="106"/>
      <c r="D28" s="106"/>
      <c r="E28" s="107"/>
      <c r="F28" s="4"/>
      <c r="K28" s="221"/>
    </row>
    <row r="29" spans="1:11" s="5" customFormat="1" ht="15">
      <c r="A29" s="173" t="s">
        <v>40</v>
      </c>
      <c r="B29" s="181"/>
      <c r="C29" s="91">
        <v>0</v>
      </c>
      <c r="D29" s="109"/>
      <c r="E29" s="110"/>
      <c r="G29" s="145"/>
      <c r="H29" s="86">
        <f>IF(ISNUMBER(B29),B29,C29)</f>
        <v>0</v>
      </c>
      <c r="I29" s="86"/>
      <c r="J29" s="143"/>
      <c r="K29" s="223"/>
    </row>
    <row r="30" spans="1:11" s="5" customFormat="1" ht="15">
      <c r="A30" s="133" t="s">
        <v>15</v>
      </c>
      <c r="B30" s="182"/>
      <c r="C30" s="93">
        <f>B25*0.015</f>
        <v>0</v>
      </c>
      <c r="D30" s="111" t="s">
        <v>79</v>
      </c>
      <c r="E30" s="112"/>
      <c r="G30" s="145"/>
      <c r="H30" s="86">
        <f>IF(ISNUMBER(B30),B30,C30)</f>
        <v>0</v>
      </c>
      <c r="I30" s="86"/>
      <c r="J30" s="143"/>
      <c r="K30" s="223"/>
    </row>
    <row r="31" spans="1:11" ht="15">
      <c r="A31" s="176" t="s">
        <v>49</v>
      </c>
      <c r="B31" s="184"/>
      <c r="C31" s="89">
        <f>B102*H103*H98</f>
        <v>0</v>
      </c>
      <c r="D31" s="84" t="s">
        <v>93</v>
      </c>
      <c r="E31" s="47"/>
      <c r="F31" s="3"/>
      <c r="G31" s="147"/>
      <c r="H31" s="86">
        <f>IF(ISNUMBER(B31),B31,C31)</f>
        <v>0</v>
      </c>
      <c r="I31" s="86"/>
      <c r="J31" s="143"/>
      <c r="K31" s="225" t="s">
        <v>147</v>
      </c>
    </row>
    <row r="32" spans="1:11" ht="30">
      <c r="A32" s="216" t="s">
        <v>141</v>
      </c>
      <c r="B32" s="185"/>
      <c r="C32" s="90">
        <f>G32</f>
        <v>0</v>
      </c>
      <c r="D32" s="113" t="s">
        <v>93</v>
      </c>
      <c r="E32" s="114"/>
      <c r="F32" s="3"/>
      <c r="G32" s="145">
        <f>IF(OR(H109=0,H108=0),0,H109*H37/(1-(1+H37)^-H108))</f>
        <v>0</v>
      </c>
      <c r="H32" s="86">
        <f>IF(ISNUMBER(B32),B32,C32)</f>
        <v>0</v>
      </c>
      <c r="I32" s="86"/>
      <c r="J32" s="143"/>
      <c r="K32" s="223"/>
    </row>
    <row r="33" spans="1:11" ht="15">
      <c r="A33" s="31" t="s">
        <v>17</v>
      </c>
      <c r="B33" s="94">
        <f>H33</f>
        <v>0</v>
      </c>
      <c r="C33" s="158"/>
      <c r="D33" s="83" t="s">
        <v>29</v>
      </c>
      <c r="E33" s="42"/>
      <c r="F33" s="3"/>
      <c r="G33" s="145"/>
      <c r="H33" s="85">
        <f>SUM(H29:H32)</f>
        <v>0</v>
      </c>
      <c r="I33" s="85"/>
      <c r="J33" s="143"/>
      <c r="K33" s="223"/>
    </row>
    <row r="34" spans="1:11" customFormat="1" ht="15">
      <c r="F34" s="4"/>
      <c r="K34" s="221"/>
    </row>
    <row r="35" spans="1:11" ht="15">
      <c r="A35" s="121" t="s">
        <v>62</v>
      </c>
      <c r="B35" s="123"/>
      <c r="C35" s="123"/>
      <c r="D35" s="123"/>
      <c r="E35" s="124"/>
      <c r="F35"/>
      <c r="G35"/>
      <c r="H35"/>
      <c r="I35"/>
      <c r="J35"/>
      <c r="K35" s="221"/>
    </row>
    <row r="36" spans="1:11" ht="15">
      <c r="A36" s="56" t="s">
        <v>26</v>
      </c>
      <c r="B36" s="181"/>
      <c r="C36" s="52">
        <v>7</v>
      </c>
      <c r="D36" s="109" t="s">
        <v>27</v>
      </c>
      <c r="E36" s="110"/>
      <c r="F36"/>
      <c r="G36" s="146"/>
      <c r="H36" s="78">
        <f>IF(ISNUMBER(B36),B36,C36)</f>
        <v>7</v>
      </c>
      <c r="I36" s="67" t="s">
        <v>37</v>
      </c>
      <c r="J36" s="149" t="b">
        <v>0</v>
      </c>
      <c r="K36" s="222"/>
    </row>
    <row r="37" spans="1:11" ht="15">
      <c r="A37" s="54" t="s">
        <v>4</v>
      </c>
      <c r="B37" s="182"/>
      <c r="C37" s="138">
        <v>7.0000000000000007E-2</v>
      </c>
      <c r="D37" s="111" t="s">
        <v>28</v>
      </c>
      <c r="E37" s="112"/>
      <c r="F37"/>
      <c r="G37" s="146"/>
      <c r="H37" s="78">
        <f>IF(ISNUMBER(B37),B37,C37)</f>
        <v>7.0000000000000007E-2</v>
      </c>
      <c r="I37" s="67" t="s">
        <v>23</v>
      </c>
      <c r="J37" s="149" t="b">
        <v>0</v>
      </c>
      <c r="K37" s="222"/>
    </row>
    <row r="38" spans="1:11" ht="15" customHeight="1">
      <c r="A38" s="55" t="s">
        <v>18</v>
      </c>
      <c r="B38" s="141">
        <f>H37/(1-(1+H37)^-H36)</f>
        <v>0.18555321963115931</v>
      </c>
      <c r="C38" s="142"/>
      <c r="D38" s="113" t="s">
        <v>100</v>
      </c>
      <c r="E38" s="114"/>
      <c r="G38" s="146"/>
      <c r="H38" s="67"/>
      <c r="I38" s="67"/>
      <c r="J38" s="144"/>
      <c r="K38" s="226"/>
    </row>
    <row r="39" spans="1:11" customFormat="1" ht="15">
      <c r="K39" s="221"/>
    </row>
    <row r="40" spans="1:11" s="5" customFormat="1" ht="15">
      <c r="A40" s="30" t="s">
        <v>109</v>
      </c>
      <c r="B40" s="140">
        <f>SUM(B33,B26)</f>
        <v>0</v>
      </c>
      <c r="C40" s="139"/>
      <c r="D40" s="150" t="s">
        <v>22</v>
      </c>
      <c r="E40" s="49"/>
      <c r="G40" s="145"/>
      <c r="H40" s="87">
        <f>IF(ISNUMBER(#REF!),#REF!,H26+H33)</f>
        <v>0</v>
      </c>
      <c r="I40" s="87" t="s">
        <v>82</v>
      </c>
      <c r="J40" s="143"/>
      <c r="K40" s="224" t="s">
        <v>148</v>
      </c>
    </row>
    <row r="41" spans="1:11" s="5" customFormat="1" ht="15">
      <c r="A41" s="19"/>
      <c r="B41" s="13"/>
      <c r="C41" s="23"/>
      <c r="D41" s="22"/>
      <c r="E41" s="13"/>
      <c r="F41" s="15"/>
      <c r="G41" s="10"/>
      <c r="H41" s="22"/>
      <c r="I41" s="22"/>
      <c r="J41" s="10"/>
      <c r="K41" s="10"/>
    </row>
    <row r="42" spans="1:11" s="5" customFormat="1" ht="15">
      <c r="A42" s="19"/>
      <c r="B42" s="13"/>
      <c r="C42" s="23"/>
      <c r="D42" s="22"/>
      <c r="E42" s="13"/>
      <c r="F42" s="15"/>
      <c r="G42" s="10"/>
      <c r="H42" s="22"/>
      <c r="I42" s="22"/>
      <c r="J42" s="10"/>
      <c r="K42" s="10"/>
    </row>
    <row r="43" spans="1:11" customFormat="1" ht="16.5" thickBot="1">
      <c r="A43" s="6" t="s">
        <v>106</v>
      </c>
      <c r="B43" s="7"/>
      <c r="C43" s="7"/>
      <c r="D43" s="7"/>
      <c r="E43" s="7"/>
    </row>
    <row r="44" spans="1:11" s="8" customFormat="1" ht="15.75" thickTop="1">
      <c r="A44" s="29"/>
      <c r="B44" s="11"/>
      <c r="C44" s="25"/>
      <c r="D44" s="25"/>
      <c r="E44" s="25"/>
      <c r="F44"/>
      <c r="G44"/>
      <c r="H44"/>
      <c r="I44"/>
      <c r="J44"/>
      <c r="K44"/>
    </row>
    <row r="45" spans="1:11" s="8" customFormat="1" ht="15">
      <c r="A45" s="29"/>
      <c r="B45" s="200" t="str">
        <f>Pollutant</f>
        <v>SOx</v>
      </c>
      <c r="C45"/>
      <c r="D45" s="25"/>
      <c r="E45" s="25"/>
      <c r="F45"/>
      <c r="G45"/>
      <c r="H45"/>
      <c r="I45"/>
      <c r="J45"/>
      <c r="K45"/>
    </row>
    <row r="46" spans="1:11" s="5" customFormat="1" ht="15">
      <c r="A46" s="51" t="s">
        <v>122</v>
      </c>
      <c r="B46" s="154">
        <f>$H$65*$H$69*$H$98/2000</f>
        <v>0</v>
      </c>
      <c r="C46"/>
      <c r="E46"/>
      <c r="F46"/>
      <c r="G46" s="10"/>
      <c r="H46"/>
      <c r="I46"/>
      <c r="J46" s="10"/>
      <c r="K46" s="10"/>
    </row>
    <row r="47" spans="1:11" s="5" customFormat="1" ht="15">
      <c r="A47" s="32" t="s">
        <v>123</v>
      </c>
      <c r="B47" s="155">
        <f>SUM($H$65:$H$65)*H74*$H$98/2000</f>
        <v>0</v>
      </c>
      <c r="C47"/>
      <c r="E47" s="14"/>
      <c r="F47" s="15"/>
      <c r="G47" s="10"/>
      <c r="H47" s="20"/>
      <c r="I47" s="20"/>
      <c r="J47" s="10"/>
      <c r="K47" s="10"/>
    </row>
    <row r="48" spans="1:11" s="5" customFormat="1" ht="15">
      <c r="A48" s="152" t="s">
        <v>124</v>
      </c>
      <c r="B48" s="153">
        <f>B46-B47</f>
        <v>0</v>
      </c>
      <c r="C48"/>
      <c r="E48"/>
      <c r="F48"/>
      <c r="G48" s="10"/>
      <c r="H48"/>
      <c r="I48"/>
      <c r="J48" s="10"/>
      <c r="K48" s="10"/>
    </row>
    <row r="49" spans="1:11" s="5" customFormat="1" ht="15">
      <c r="A49" s="24"/>
      <c r="B49" s="27"/>
      <c r="C49"/>
      <c r="E49"/>
      <c r="F49"/>
      <c r="G49" s="10"/>
      <c r="H49"/>
      <c r="I49"/>
      <c r="J49" s="10"/>
      <c r="K49" s="10"/>
    </row>
    <row r="50" spans="1:11" s="5" customFormat="1" ht="15">
      <c r="A50" s="53" t="s">
        <v>21</v>
      </c>
      <c r="B50" s="156">
        <f>B40</f>
        <v>0</v>
      </c>
      <c r="C50"/>
      <c r="E50"/>
      <c r="F50"/>
      <c r="G50" s="10"/>
      <c r="H50"/>
      <c r="I50"/>
      <c r="J50" s="10"/>
      <c r="K50" s="10"/>
    </row>
    <row r="51" spans="1:11" s="5" customFormat="1" ht="15">
      <c r="A51" s="54" t="s">
        <v>104</v>
      </c>
      <c r="B51" s="157" t="str">
        <f>IF(B48=0,"",B50/B48)</f>
        <v/>
      </c>
      <c r="C51"/>
      <c r="F51" s="9"/>
      <c r="G51" s="10"/>
      <c r="H51" s="28"/>
      <c r="I51" s="28"/>
      <c r="J51" s="10"/>
      <c r="K51" s="10"/>
    </row>
    <row r="52" spans="1:11" s="5" customFormat="1" ht="15">
      <c r="A52" s="229" t="s">
        <v>152</v>
      </c>
      <c r="B52" s="230"/>
      <c r="C52"/>
      <c r="E52" s="13"/>
      <c r="F52" s="15"/>
      <c r="G52" s="10"/>
      <c r="H52" s="22"/>
      <c r="I52" s="22"/>
      <c r="J52" s="10"/>
      <c r="K52" s="10"/>
    </row>
    <row r="53" spans="1:11" s="5" customFormat="1" ht="15.75" thickBot="1">
      <c r="A53" s="21"/>
      <c r="B53" s="159"/>
      <c r="C53" s="13"/>
      <c r="E53" s="13"/>
      <c r="F53" s="15"/>
      <c r="G53" s="10"/>
      <c r="H53" s="22"/>
      <c r="I53" s="22"/>
      <c r="J53" s="10"/>
      <c r="K53" s="10"/>
    </row>
    <row r="54" spans="1:11" s="5" customFormat="1" ht="15">
      <c r="A54" s="168" t="s">
        <v>137</v>
      </c>
      <c r="B54" s="160"/>
      <c r="C54" s="161"/>
      <c r="D54" s="162"/>
      <c r="E54" s="163"/>
      <c r="F54" s="15"/>
      <c r="G54" s="10"/>
      <c r="H54" s="22"/>
      <c r="I54" s="22"/>
      <c r="J54" s="10"/>
      <c r="K54" s="10"/>
    </row>
    <row r="55" spans="1:11" s="5" customFormat="1" ht="33" customHeight="1" thickBot="1">
      <c r="A55" s="554" t="str">
        <f>IF(B51="","TBD",IF(B51&gt;B52,"Project costs exceed BACT cost effectiveness threshold and may not be considered cost effective.","Project may be considered cost effective."))</f>
        <v>TBD</v>
      </c>
      <c r="B55" s="555" t="str">
        <f>IF(C51="","TBD",IF(C51&gt;C52,"Project costs exceed BACT cost effectiveness threshold and may not be considered cost effective.","Project may be considered cost effective."))</f>
        <v>TBD</v>
      </c>
      <c r="C55" s="555" t="str">
        <f>IF(D51="","TBD",IF(D51&gt;D52,"Project costs exceed BACT cost effectiveness threshold and may not be considered cost effective.","Project may be considered cost effective."))</f>
        <v>TBD</v>
      </c>
      <c r="D55" s="555" t="str">
        <f>IF(E51="","TBD",IF(E51&gt;E52,"Project costs exceed BACT cost effectiveness threshold and may not be considered cost effective.","Project may be considered cost effective."))</f>
        <v>TBD</v>
      </c>
      <c r="E55" s="556" t="str">
        <f>IF(F51="","TBD",IF(F51&gt;F52,"Project costs exceed BACT cost effectiveness threshold and may not be considered cost effective.","Project may be considered cost effective."))</f>
        <v>TBD</v>
      </c>
      <c r="F55" s="15"/>
      <c r="G55" s="10"/>
      <c r="H55" s="22"/>
      <c r="I55" s="22"/>
      <c r="J55" s="10"/>
      <c r="K55" s="10"/>
    </row>
    <row r="56" spans="1:11" s="5" customFormat="1" ht="15">
      <c r="A56" s="19"/>
      <c r="B56" s="13"/>
      <c r="C56" s="22"/>
      <c r="D56" s="22"/>
      <c r="E56" s="13"/>
      <c r="F56" s="15"/>
      <c r="G56" s="10"/>
      <c r="H56" s="22"/>
      <c r="I56" s="22"/>
      <c r="J56" s="10"/>
      <c r="K56" s="10"/>
    </row>
    <row r="57" spans="1:11" s="5" customFormat="1" ht="15">
      <c r="A57" s="19"/>
      <c r="B57" s="13"/>
      <c r="C57" s="22"/>
      <c r="D57" s="22"/>
      <c r="E57" s="13"/>
      <c r="F57" s="15"/>
      <c r="G57" s="10"/>
      <c r="H57" s="22"/>
      <c r="I57" s="22"/>
      <c r="J57" s="10"/>
      <c r="K57" s="10"/>
    </row>
    <row r="58" spans="1:11" customFormat="1" ht="16.5" thickBot="1">
      <c r="A58" s="6" t="s">
        <v>107</v>
      </c>
      <c r="B58" s="7"/>
      <c r="C58" s="7"/>
      <c r="D58" s="7"/>
      <c r="E58" s="7"/>
    </row>
    <row r="59" spans="1:11" ht="15.75" thickTop="1">
      <c r="F59"/>
      <c r="H59" s="3"/>
      <c r="I59" s="3"/>
      <c r="K59"/>
    </row>
    <row r="60" spans="1:11" ht="15">
      <c r="A60" s="3" t="s">
        <v>86</v>
      </c>
      <c r="F60"/>
      <c r="G60"/>
      <c r="H60"/>
      <c r="I60"/>
      <c r="J60"/>
      <c r="K60"/>
    </row>
    <row r="61" spans="1:11" ht="15">
      <c r="A61" s="3" t="s">
        <v>85</v>
      </c>
      <c r="F61"/>
      <c r="G61"/>
      <c r="H61"/>
      <c r="I61"/>
      <c r="J61"/>
      <c r="K61"/>
    </row>
    <row r="62" spans="1:11" ht="15">
      <c r="F62"/>
      <c r="G62"/>
      <c r="H62"/>
      <c r="I62"/>
      <c r="J62"/>
      <c r="K62"/>
    </row>
    <row r="63" spans="1:11" ht="15">
      <c r="A63" s="99" t="s">
        <v>88</v>
      </c>
      <c r="B63" s="98"/>
      <c r="C63" s="98"/>
      <c r="D63" s="98"/>
      <c r="E63" s="98"/>
      <c r="F63"/>
      <c r="G63" s="63" t="s">
        <v>25</v>
      </c>
      <c r="H63" s="64" t="s">
        <v>31</v>
      </c>
      <c r="I63" s="212" t="s">
        <v>34</v>
      </c>
      <c r="J63" s="64" t="s">
        <v>59</v>
      </c>
      <c r="K63" s="65" t="s">
        <v>32</v>
      </c>
    </row>
    <row r="64" spans="1:11" ht="6.75" customHeight="1">
      <c r="A64" s="101"/>
      <c r="B64" s="59"/>
      <c r="C64" s="59"/>
      <c r="D64" s="59"/>
      <c r="E64" s="59"/>
      <c r="F64"/>
      <c r="G64" s="63"/>
      <c r="H64" s="64"/>
      <c r="I64" s="212"/>
      <c r="J64" s="64"/>
      <c r="K64" s="65"/>
    </row>
    <row r="65" spans="1:11" ht="15">
      <c r="A65" s="3" t="s">
        <v>112</v>
      </c>
      <c r="B65" s="186"/>
      <c r="C65" s="60" t="s">
        <v>0</v>
      </c>
      <c r="F65"/>
      <c r="G65" s="75"/>
      <c r="H65" s="67">
        <f>B65</f>
        <v>0</v>
      </c>
      <c r="I65" s="204" t="s">
        <v>0</v>
      </c>
      <c r="J65" s="206" t="str">
        <f>IF(B65="","Req'd")</f>
        <v>Req'd</v>
      </c>
      <c r="K65" s="69"/>
    </row>
    <row r="66" spans="1:11" s="8" customFormat="1" ht="15">
      <c r="B66" s="59"/>
      <c r="C66" s="59"/>
      <c r="D66" s="59"/>
      <c r="E66" s="59"/>
      <c r="F66" s="100"/>
      <c r="G66" s="100"/>
      <c r="H66" s="100"/>
      <c r="I66" s="100"/>
      <c r="J66" s="202"/>
      <c r="K66" s="202"/>
    </row>
    <row r="67" spans="1:11" ht="15">
      <c r="A67" s="99" t="str">
        <f>Pollutant&amp;" Emission Rates"</f>
        <v>SOx Emission Rates</v>
      </c>
      <c r="B67" s="98"/>
      <c r="C67" s="98"/>
      <c r="D67" s="98"/>
      <c r="E67" s="98"/>
      <c r="F67"/>
      <c r="G67"/>
      <c r="H67"/>
      <c r="I67"/>
      <c r="J67" s="1"/>
      <c r="K67" s="1"/>
    </row>
    <row r="68" spans="1:11" ht="6.75" customHeight="1">
      <c r="A68" s="101"/>
      <c r="B68" s="59"/>
      <c r="C68" s="59"/>
      <c r="D68" s="59"/>
      <c r="E68" s="59"/>
      <c r="F68"/>
      <c r="G68"/>
      <c r="H68"/>
      <c r="I68"/>
      <c r="J68" s="1"/>
      <c r="K68" s="1"/>
    </row>
    <row r="69" spans="1:11" ht="15">
      <c r="A69" s="3" t="s">
        <v>138</v>
      </c>
      <c r="B69" s="186"/>
      <c r="C69" s="60" t="s">
        <v>126</v>
      </c>
      <c r="F69"/>
      <c r="G69" s="72">
        <f>B69</f>
        <v>0</v>
      </c>
      <c r="H69" s="71">
        <f>IF(ISNUMBER(B69),G69,IF(ISNUMBER(B70),G70,IF(ISNUMBER(B71),G71,G72)))</f>
        <v>0</v>
      </c>
      <c r="I69" s="204" t="s">
        <v>3</v>
      </c>
      <c r="J69" s="206" t="b">
        <f>IF(OR(B70&lt;&gt;"",B71&lt;&gt;""),"N/A")</f>
        <v>0</v>
      </c>
      <c r="K69" s="69"/>
    </row>
    <row r="70" spans="1:11" ht="15">
      <c r="A70" s="58" t="s">
        <v>50</v>
      </c>
      <c r="B70" s="186"/>
      <c r="C70" s="60" t="s">
        <v>127</v>
      </c>
      <c r="F70"/>
      <c r="G70" s="72">
        <f>B70/H$93</f>
        <v>0</v>
      </c>
      <c r="H70" s="76"/>
      <c r="I70" s="211"/>
      <c r="J70" s="206" t="b">
        <f>IF(OR(B69&lt;&gt;"",B71&lt;&gt;""),"N/A")</f>
        <v>0</v>
      </c>
      <c r="K70" s="69"/>
    </row>
    <row r="71" spans="1:11" ht="15">
      <c r="A71" s="58" t="s">
        <v>50</v>
      </c>
      <c r="B71" s="186"/>
      <c r="C71" s="60" t="s">
        <v>54</v>
      </c>
      <c r="F71"/>
      <c r="G71" s="72">
        <f>B71/1000000*28.01/386.1*H$94*(20.946/(20.946-3))</f>
        <v>0</v>
      </c>
      <c r="H71" s="76"/>
      <c r="I71" s="211"/>
      <c r="J71" s="206" t="b">
        <f>IF(OR(B69&lt;&gt;"",B70&lt;&gt;""),"N/A")</f>
        <v>0</v>
      </c>
      <c r="K71" s="69"/>
    </row>
    <row r="72" spans="1:11" ht="15">
      <c r="A72" s="58" t="s">
        <v>135</v>
      </c>
      <c r="B72" s="228"/>
      <c r="C72" s="60" t="s">
        <v>54</v>
      </c>
      <c r="F72"/>
      <c r="G72" s="72">
        <f>B72/1000000*28.01/386.1*H$94*(20.946/(20.946-3))</f>
        <v>0</v>
      </c>
      <c r="H72" s="76"/>
      <c r="I72" s="211"/>
      <c r="J72" s="206" t="b">
        <f>IF(COUNTA(B69:B71)&gt;0,"N/A",FALSE)</f>
        <v>0</v>
      </c>
      <c r="K72" s="69"/>
    </row>
    <row r="73" spans="1:11" ht="15">
      <c r="F73"/>
      <c r="G73"/>
      <c r="H73"/>
      <c r="I73"/>
      <c r="J73" s="1"/>
      <c r="K73" s="1"/>
    </row>
    <row r="74" spans="1:11" ht="15">
      <c r="A74" s="3" t="s">
        <v>128</v>
      </c>
      <c r="B74" s="186"/>
      <c r="C74" s="60" t="s">
        <v>126</v>
      </c>
      <c r="F74"/>
      <c r="G74" s="72">
        <f>B74</f>
        <v>0</v>
      </c>
      <c r="H74" s="71">
        <f>IF(ISNUMBER(B74),G74,IF(ISNUMBER(B75),G75,IF(ISNUMBER(B76),G76,G77)))</f>
        <v>0</v>
      </c>
      <c r="I74" s="204" t="s">
        <v>3</v>
      </c>
      <c r="J74" s="206" t="str">
        <f>IF(COUNTA(B74:B77)=0,"Req'd",IF(OR(B75&lt;&gt;"",B76&lt;&gt;"",B77&lt;&gt;""),"N/A"))</f>
        <v>Req'd</v>
      </c>
      <c r="K74" s="69"/>
    </row>
    <row r="75" spans="1:11" ht="15">
      <c r="A75" s="58" t="s">
        <v>50</v>
      </c>
      <c r="B75" s="186"/>
      <c r="C75" s="60" t="s">
        <v>127</v>
      </c>
      <c r="F75"/>
      <c r="G75" s="72">
        <f>B75/H$93</f>
        <v>0</v>
      </c>
      <c r="H75" s="76"/>
      <c r="I75" s="211"/>
      <c r="J75" s="206" t="str">
        <f>IF(COUNTA(B74:B77)=0,"Req'd",IF(OR(B74&lt;&gt;"",B76&lt;&gt;"",B77&lt;&gt;""),"N/A"))</f>
        <v>Req'd</v>
      </c>
      <c r="K75" s="69"/>
    </row>
    <row r="76" spans="1:11" ht="15">
      <c r="A76" s="58" t="s">
        <v>50</v>
      </c>
      <c r="B76" s="186"/>
      <c r="C76" s="60" t="s">
        <v>54</v>
      </c>
      <c r="F76"/>
      <c r="G76" s="72">
        <f>B76/1000000*28.01/386.1*H$94*(20.946/(20.946-3))</f>
        <v>0</v>
      </c>
      <c r="H76" s="76"/>
      <c r="I76" s="211"/>
      <c r="J76" s="206" t="str">
        <f>IF(COUNTA(B74:B77)=0,"Req'd",IF(OR(B74&lt;&gt;"",B75&lt;&gt;"",B77&lt;&gt;""),"N/A"))</f>
        <v>Req'd</v>
      </c>
      <c r="K76" s="69"/>
    </row>
    <row r="77" spans="1:11" ht="15">
      <c r="A77" s="58" t="s">
        <v>50</v>
      </c>
      <c r="B77" s="203"/>
      <c r="C77" s="60" t="s">
        <v>131</v>
      </c>
      <c r="F77"/>
      <c r="G77" s="72">
        <f>(1-B77)*H69</f>
        <v>0</v>
      </c>
      <c r="H77" s="76"/>
      <c r="I77" s="211"/>
      <c r="J77" s="206" t="str">
        <f>IF(COUNTA(B74:B77)=0,"Req'd",IF(OR(B74&lt;&gt;"",B75&lt;&gt;"",B76&lt;&gt;""),"N/A"))</f>
        <v>Req'd</v>
      </c>
      <c r="K77" s="69"/>
    </row>
    <row r="78" spans="1:11" ht="15">
      <c r="A78" s="8"/>
      <c r="B78" s="59"/>
      <c r="C78" s="59"/>
      <c r="D78" s="59"/>
      <c r="E78" s="59"/>
      <c r="F78"/>
      <c r="G78"/>
      <c r="H78"/>
      <c r="I78"/>
      <c r="J78" s="1"/>
      <c r="K78" s="1"/>
    </row>
    <row r="79" spans="1:11" ht="15">
      <c r="A79" s="99" t="s">
        <v>130</v>
      </c>
      <c r="B79" s="98"/>
      <c r="C79" s="98"/>
      <c r="D79" s="98"/>
      <c r="E79" s="98"/>
      <c r="F79"/>
      <c r="G79"/>
      <c r="H79"/>
      <c r="I79"/>
      <c r="J79" s="1"/>
      <c r="K79" s="1"/>
    </row>
    <row r="80" spans="1:11" ht="6.75" customHeight="1">
      <c r="A80" s="101"/>
      <c r="B80" s="59"/>
      <c r="C80" s="59"/>
      <c r="D80" s="59"/>
      <c r="E80" s="59"/>
      <c r="F80"/>
      <c r="G80"/>
      <c r="H80"/>
      <c r="I80"/>
      <c r="J80" s="1"/>
      <c r="K80" s="1"/>
    </row>
    <row r="81" spans="1:11" ht="15">
      <c r="A81" s="3" t="s">
        <v>139</v>
      </c>
      <c r="B81" s="186"/>
      <c r="C81" s="60" t="s">
        <v>132</v>
      </c>
      <c r="F81"/>
      <c r="G81" s="72">
        <f>B81</f>
        <v>0</v>
      </c>
      <c r="H81" s="71">
        <f>IF(ISNUMBER(B81),G81,IF(ISNUMBER(B82),G82,IF(ISNUMBER(B83),G83,G84)))</f>
        <v>5.2380952380952379E-3</v>
      </c>
      <c r="I81" s="204" t="s">
        <v>3</v>
      </c>
      <c r="J81" s="206" t="b">
        <f>IF(OR(B82&lt;&gt;"",B83&lt;&gt;""),"N/A")</f>
        <v>0</v>
      </c>
      <c r="K81" s="69"/>
    </row>
    <row r="82" spans="1:11" ht="15">
      <c r="A82" s="58" t="s">
        <v>50</v>
      </c>
      <c r="B82" s="186"/>
      <c r="C82" s="60" t="s">
        <v>133</v>
      </c>
      <c r="F82"/>
      <c r="G82" s="72">
        <f>B82/H$93</f>
        <v>0</v>
      </c>
      <c r="H82" s="76"/>
      <c r="I82" s="211"/>
      <c r="J82" s="206" t="b">
        <f>IF(OR(B81&lt;&gt;"",B83&lt;&gt;""),"N/A")</f>
        <v>0</v>
      </c>
      <c r="K82" s="69"/>
    </row>
    <row r="83" spans="1:11" ht="15">
      <c r="A83" s="58" t="s">
        <v>50</v>
      </c>
      <c r="B83" s="186"/>
      <c r="C83" s="60" t="s">
        <v>136</v>
      </c>
      <c r="F83"/>
      <c r="G83" s="72">
        <f>B83/1000000*16.04/386.1*H$94*(20.946/(20.946-3))</f>
        <v>0</v>
      </c>
      <c r="H83" s="76"/>
      <c r="I83" s="211"/>
      <c r="J83" s="206" t="b">
        <f>IF(OR(B81&lt;&gt;"",B82&lt;&gt;""),"N/A")</f>
        <v>0</v>
      </c>
      <c r="K83" s="69"/>
    </row>
    <row r="84" spans="1:11" ht="15">
      <c r="A84" s="58" t="s">
        <v>135</v>
      </c>
      <c r="B84" s="215">
        <v>5.5</v>
      </c>
      <c r="C84" s="60" t="s">
        <v>133</v>
      </c>
      <c r="F84"/>
      <c r="G84" s="72">
        <f>B84/H$93</f>
        <v>5.2380952380952379E-3</v>
      </c>
      <c r="H84" s="76"/>
      <c r="I84" s="211"/>
      <c r="J84" s="206" t="b">
        <f>IF(COUNTA(B81:B83)&gt;0,"N/A",FALSE)</f>
        <v>0</v>
      </c>
      <c r="K84" s="69"/>
    </row>
    <row r="85" spans="1:11" ht="15">
      <c r="F85"/>
      <c r="G85"/>
      <c r="H85"/>
      <c r="I85"/>
      <c r="J85" s="1"/>
      <c r="K85" s="1"/>
    </row>
    <row r="86" spans="1:11" ht="15">
      <c r="A86" s="3" t="s">
        <v>134</v>
      </c>
      <c r="B86" s="186"/>
      <c r="C86" s="60" t="s">
        <v>132</v>
      </c>
      <c r="F86"/>
      <c r="G86" s="72">
        <f>B86</f>
        <v>0</v>
      </c>
      <c r="H86" s="71">
        <f>IF(ISNUMBER(B86),G86,IF(ISNUMBER(B87),G87,IF(ISNUMBER(B88),G88,G89)))</f>
        <v>5.2380952380952379E-3</v>
      </c>
      <c r="I86" s="204" t="s">
        <v>3</v>
      </c>
      <c r="J86" s="206" t="str">
        <f>IF(COUNTA(B86:B89)=0,"Req'd",IF(OR(B87&lt;&gt;"",B88&lt;&gt;"",B89&lt;&gt;""),"N/A"))</f>
        <v>Req'd</v>
      </c>
      <c r="K86" s="69"/>
    </row>
    <row r="87" spans="1:11" ht="15">
      <c r="A87" s="58" t="s">
        <v>50</v>
      </c>
      <c r="B87" s="186"/>
      <c r="C87" s="60" t="s">
        <v>133</v>
      </c>
      <c r="F87"/>
      <c r="G87" s="72">
        <f>B87/H$93</f>
        <v>0</v>
      </c>
      <c r="H87" s="76"/>
      <c r="I87" s="211"/>
      <c r="J87" s="206" t="str">
        <f>IF(COUNTA(B86:B89)=0,"Req'd",IF(OR(B86&lt;&gt;"",B88&lt;&gt;"",B89&lt;&gt;""),"N/A"))</f>
        <v>Req'd</v>
      </c>
      <c r="K87" s="69"/>
    </row>
    <row r="88" spans="1:11" ht="15">
      <c r="A88" s="58" t="s">
        <v>50</v>
      </c>
      <c r="B88" s="186"/>
      <c r="C88" s="60" t="s">
        <v>136</v>
      </c>
      <c r="F88"/>
      <c r="G88" s="72">
        <f>B88/1000000*16.04/386.1*H$94*(20.946/(20.946-3))</f>
        <v>0</v>
      </c>
      <c r="H88" s="76"/>
      <c r="I88" s="211"/>
      <c r="J88" s="206" t="str">
        <f>IF(COUNTA(B86:B89)=0,"Req'd",IF(OR(B86&lt;&gt;"",B87&lt;&gt;"",B89&lt;&gt;""),"N/A"))</f>
        <v>Req'd</v>
      </c>
      <c r="K88" s="69"/>
    </row>
    <row r="89" spans="1:11" ht="15">
      <c r="A89" s="58" t="s">
        <v>50</v>
      </c>
      <c r="B89" s="203"/>
      <c r="C89" s="60" t="s">
        <v>129</v>
      </c>
      <c r="F89"/>
      <c r="G89" s="72">
        <f>(1-B89)*H81</f>
        <v>5.2380952380952379E-3</v>
      </c>
      <c r="H89" s="76"/>
      <c r="I89" s="211"/>
      <c r="J89" s="206" t="str">
        <f>IF(COUNTA(B86:B89)=0,"Req'd",IF(OR(B86&lt;&gt;"",B87&lt;&gt;"",B88&lt;&gt;""),"N/A"))</f>
        <v>Req'd</v>
      </c>
      <c r="K89" s="69"/>
    </row>
    <row r="90" spans="1:11" ht="15">
      <c r="A90" s="8"/>
      <c r="B90" s="59"/>
      <c r="C90" s="59"/>
      <c r="D90" s="59"/>
      <c r="E90" s="59"/>
      <c r="F90"/>
      <c r="G90"/>
      <c r="H90"/>
      <c r="I90"/>
      <c r="J90" s="1"/>
      <c r="K90" s="1"/>
    </row>
    <row r="91" spans="1:11" ht="15">
      <c r="A91" s="99" t="s">
        <v>89</v>
      </c>
      <c r="B91" s="98"/>
      <c r="C91" s="98"/>
      <c r="D91" s="98"/>
      <c r="E91" s="98"/>
      <c r="F91"/>
      <c r="G91"/>
      <c r="H91"/>
      <c r="I91"/>
      <c r="J91" s="1"/>
      <c r="K91" s="1"/>
    </row>
    <row r="92" spans="1:11" ht="6.75" customHeight="1">
      <c r="A92" s="101"/>
      <c r="B92" s="59"/>
      <c r="C92" s="59"/>
      <c r="D92" s="59"/>
      <c r="E92" s="59"/>
      <c r="F92"/>
      <c r="G92"/>
      <c r="H92"/>
      <c r="I92"/>
      <c r="J92" s="1"/>
      <c r="K92" s="1"/>
    </row>
    <row r="93" spans="1:11" ht="15">
      <c r="A93" s="3" t="str">
        <f>"HHV  [Default: "&amp;H93&amp;" " &amp; C93&amp;"]"</f>
        <v>HHV  [Default: 1050 Btu/scf]</v>
      </c>
      <c r="B93" s="186"/>
      <c r="C93" s="60" t="s">
        <v>5</v>
      </c>
      <c r="F93"/>
      <c r="G93" s="66">
        <v>1050</v>
      </c>
      <c r="H93" s="67">
        <f>IF(ISNUMBER(B93),B93,G93)</f>
        <v>1050</v>
      </c>
      <c r="I93" s="204" t="s">
        <v>5</v>
      </c>
      <c r="J93" s="206" t="b">
        <v>0</v>
      </c>
      <c r="K93" s="69"/>
    </row>
    <row r="94" spans="1:11" ht="15">
      <c r="A94" s="3" t="str">
        <f>"F-factor (dry)  [Default: "&amp;H94&amp;" " &amp; C94&amp;"]"</f>
        <v>F-factor (dry)  [Default: 8710 dscf/MMBtu]</v>
      </c>
      <c r="B94" s="186"/>
      <c r="C94" s="60" t="s">
        <v>33</v>
      </c>
      <c r="F94"/>
      <c r="G94" s="66">
        <v>8710</v>
      </c>
      <c r="H94" s="67">
        <f>IF(ISNUMBER(B94),B94,G94)</f>
        <v>8710</v>
      </c>
      <c r="I94" s="204" t="s">
        <v>33</v>
      </c>
      <c r="J94" s="206" t="b">
        <v>0</v>
      </c>
      <c r="K94" s="69"/>
    </row>
    <row r="95" spans="1:11" ht="15">
      <c r="A95" s="8"/>
      <c r="B95" s="59"/>
      <c r="C95" s="59"/>
      <c r="D95" s="59"/>
      <c r="E95" s="59"/>
      <c r="F95"/>
      <c r="G95"/>
      <c r="H95"/>
      <c r="I95"/>
      <c r="J95" s="1"/>
      <c r="K95" s="1"/>
    </row>
    <row r="96" spans="1:11" ht="15">
      <c r="A96" s="99" t="s">
        <v>90</v>
      </c>
      <c r="B96" s="98"/>
      <c r="C96" s="98"/>
      <c r="D96" s="98"/>
      <c r="E96" s="98"/>
      <c r="F96"/>
      <c r="G96"/>
      <c r="H96"/>
      <c r="I96"/>
      <c r="J96" s="1"/>
      <c r="K96" s="1"/>
    </row>
    <row r="97" spans="1:11" ht="6.75" customHeight="1">
      <c r="A97" s="101"/>
      <c r="B97" s="59"/>
      <c r="C97" s="59"/>
      <c r="D97" s="59"/>
      <c r="E97" s="59"/>
      <c r="F97"/>
      <c r="G97"/>
      <c r="H97"/>
      <c r="I97"/>
      <c r="J97" s="1"/>
      <c r="K97" s="1"/>
    </row>
    <row r="98" spans="1:11" ht="15">
      <c r="A98" s="3" t="str">
        <f>"Max annual op hours [Default: "&amp;G98&amp;" " &amp; C98&amp;"]"</f>
        <v>Max annual op hours [Default: 8760 hr/yr]</v>
      </c>
      <c r="B98" s="186"/>
      <c r="C98" s="60" t="s">
        <v>30</v>
      </c>
      <c r="F98"/>
      <c r="G98" s="66">
        <v>8760</v>
      </c>
      <c r="H98" s="67">
        <f>IF(ISNUMBER(B98),B98,G98)</f>
        <v>8760</v>
      </c>
      <c r="I98" s="204" t="s">
        <v>43</v>
      </c>
      <c r="J98" s="206" t="b">
        <v>0</v>
      </c>
      <c r="K98" s="69"/>
    </row>
    <row r="99" spans="1:11" ht="15">
      <c r="A99" s="8"/>
      <c r="B99" s="59"/>
      <c r="C99" s="59"/>
      <c r="D99" s="59"/>
      <c r="E99" s="59"/>
      <c r="F99"/>
      <c r="G99"/>
      <c r="H99"/>
      <c r="I99"/>
      <c r="J99" s="1"/>
      <c r="K99" s="1"/>
    </row>
    <row r="100" spans="1:11" ht="15">
      <c r="A100" s="99" t="s">
        <v>58</v>
      </c>
      <c r="B100" s="98"/>
      <c r="C100" s="98"/>
      <c r="D100" s="98"/>
      <c r="E100" s="98"/>
      <c r="F100"/>
      <c r="G100"/>
      <c r="H100"/>
      <c r="I100"/>
      <c r="J100" s="1"/>
      <c r="K100" s="1"/>
    </row>
    <row r="101" spans="1:11" ht="6.75" customHeight="1">
      <c r="A101" s="101"/>
      <c r="B101" s="59"/>
      <c r="C101" s="59"/>
      <c r="D101" s="59"/>
      <c r="E101" s="59"/>
      <c r="F101"/>
      <c r="G101"/>
      <c r="H101"/>
      <c r="I101"/>
      <c r="J101" s="1"/>
      <c r="K101" s="1"/>
    </row>
    <row r="102" spans="1:11" ht="15">
      <c r="A102" s="3" t="s">
        <v>57</v>
      </c>
      <c r="B102" s="186"/>
      <c r="C102" s="60" t="s">
        <v>42</v>
      </c>
      <c r="F102"/>
      <c r="G102" s="75"/>
      <c r="H102" s="67">
        <f>B102</f>
        <v>0</v>
      </c>
      <c r="I102" s="204" t="str">
        <f>C102</f>
        <v>kW</v>
      </c>
      <c r="J102" s="206" t="str">
        <f>IF(B102="","Req'd")</f>
        <v>Req'd</v>
      </c>
      <c r="K102" s="69"/>
    </row>
    <row r="103" spans="1:11" ht="15">
      <c r="A103" s="3" t="str">
        <f>"Electricity Cost  [Default: "&amp;G103&amp;" " &amp; C103&amp;"]"</f>
        <v>Electricity Cost  [Default: 0.1572 $/kWh]</v>
      </c>
      <c r="B103" s="186"/>
      <c r="C103" s="60" t="s">
        <v>6</v>
      </c>
      <c r="F103"/>
      <c r="G103" s="66">
        <v>0.15720000000000001</v>
      </c>
      <c r="H103" s="77">
        <f>IF(ISNUMBER(B103),B103,G103)</f>
        <v>0.15720000000000001</v>
      </c>
      <c r="I103" s="204" t="s">
        <v>6</v>
      </c>
      <c r="J103" s="206" t="b">
        <v>0</v>
      </c>
      <c r="K103" s="69"/>
    </row>
    <row r="104" spans="1:11" ht="15">
      <c r="A104" s="8"/>
      <c r="B104" s="59"/>
      <c r="C104" s="59"/>
      <c r="D104" s="59"/>
      <c r="E104" s="59"/>
      <c r="F104"/>
      <c r="G104"/>
      <c r="H104"/>
      <c r="I104"/>
      <c r="J104"/>
      <c r="K104"/>
    </row>
    <row r="105" spans="1:11" ht="15">
      <c r="A105" s="99" t="s">
        <v>60</v>
      </c>
      <c r="B105" s="98"/>
      <c r="C105" s="98"/>
      <c r="D105" s="98"/>
      <c r="E105" s="98"/>
      <c r="F105"/>
      <c r="G105"/>
      <c r="H105"/>
      <c r="I105"/>
      <c r="J105"/>
      <c r="K105"/>
    </row>
    <row r="106" spans="1:11" ht="6.75" customHeight="1">
      <c r="A106" s="101"/>
      <c r="B106" s="59"/>
      <c r="C106" s="59"/>
      <c r="D106" s="59"/>
      <c r="E106" s="59"/>
      <c r="F106"/>
      <c r="G106"/>
      <c r="H106"/>
      <c r="I106"/>
      <c r="J106"/>
      <c r="K106"/>
    </row>
    <row r="107" spans="1:11" ht="15">
      <c r="A107" s="3" t="s">
        <v>74</v>
      </c>
      <c r="B107" s="190"/>
      <c r="F107"/>
      <c r="G107" s="75"/>
      <c r="H107" s="73">
        <f>B107</f>
        <v>0</v>
      </c>
      <c r="I107" s="204" t="s">
        <v>61</v>
      </c>
      <c r="J107" s="206" t="str">
        <f>IF(B107="","Req'd")</f>
        <v>Req'd</v>
      </c>
      <c r="K107" s="69"/>
    </row>
    <row r="108" spans="1:11" ht="15">
      <c r="A108" s="3" t="s">
        <v>73</v>
      </c>
      <c r="B108" s="186"/>
      <c r="C108" s="60" t="s">
        <v>37</v>
      </c>
      <c r="F108"/>
      <c r="G108" s="75"/>
      <c r="H108" s="67">
        <f>B108</f>
        <v>0</v>
      </c>
      <c r="I108" s="204" t="s">
        <v>37</v>
      </c>
      <c r="J108" s="206" t="str">
        <f>IF(B108="","Req'd")</f>
        <v>Req'd</v>
      </c>
      <c r="K108" s="69"/>
    </row>
    <row r="109" spans="1:11" ht="15">
      <c r="A109" s="3" t="s">
        <v>75</v>
      </c>
      <c r="B109" s="190"/>
      <c r="F109"/>
      <c r="G109" s="74">
        <f>H107</f>
        <v>0</v>
      </c>
      <c r="H109" s="73">
        <f>IF(ISNUMBER(B109),B109,G109)</f>
        <v>0</v>
      </c>
      <c r="I109" s="204" t="s">
        <v>61</v>
      </c>
      <c r="J109" s="213" t="b">
        <v>0</v>
      </c>
      <c r="K109" s="69"/>
    </row>
    <row r="110" spans="1:11" ht="15">
      <c r="A110" s="8"/>
      <c r="B110" s="59"/>
      <c r="C110" s="59"/>
      <c r="D110" s="59"/>
      <c r="E110" s="59"/>
      <c r="F110"/>
      <c r="G110"/>
      <c r="H110"/>
      <c r="I110"/>
      <c r="J110"/>
      <c r="K110"/>
    </row>
    <row r="111" spans="1:11" ht="15">
      <c r="F111"/>
      <c r="G111"/>
      <c r="J111"/>
      <c r="K111"/>
    </row>
    <row r="112" spans="1:11">
      <c r="A112" s="10"/>
      <c r="B112" s="10"/>
      <c r="C112" s="10"/>
      <c r="D112" s="16"/>
      <c r="E112" s="10"/>
      <c r="F112" s="3"/>
      <c r="G112" s="10"/>
      <c r="H112" s="17"/>
      <c r="I112" s="18"/>
      <c r="J112" s="10"/>
      <c r="K112" s="10"/>
    </row>
    <row r="113" spans="1:11">
      <c r="A113" s="10"/>
      <c r="B113" s="26"/>
      <c r="C113" s="26"/>
      <c r="D113" s="26"/>
      <c r="E113" s="26"/>
      <c r="F113" s="26"/>
      <c r="G113" s="10"/>
      <c r="H113" s="26"/>
      <c r="I113" s="26"/>
      <c r="J113" s="10"/>
      <c r="K113" s="10"/>
    </row>
    <row r="114" spans="1:11">
      <c r="A114" s="10"/>
      <c r="B114" s="26"/>
      <c r="C114" s="26"/>
      <c r="D114" s="26"/>
      <c r="E114" s="26"/>
      <c r="F114" s="26"/>
      <c r="G114" s="10"/>
      <c r="H114" s="26"/>
      <c r="I114" s="26"/>
      <c r="J114" s="10"/>
      <c r="K114" s="10"/>
    </row>
    <row r="115" spans="1:11">
      <c r="A115" s="10"/>
      <c r="B115" s="26"/>
      <c r="C115" s="26"/>
      <c r="D115" s="26"/>
      <c r="E115" s="26"/>
      <c r="F115" s="26"/>
      <c r="G115" s="10"/>
      <c r="H115" s="26"/>
      <c r="I115" s="26"/>
      <c r="J115" s="10"/>
      <c r="K115" s="10"/>
    </row>
    <row r="116" spans="1:11">
      <c r="A116" s="10"/>
      <c r="B116" s="26"/>
      <c r="C116" s="26"/>
      <c r="D116" s="26"/>
      <c r="E116" s="26"/>
      <c r="F116" s="26"/>
      <c r="G116" s="10"/>
      <c r="H116" s="26"/>
      <c r="I116" s="26"/>
      <c r="J116" s="10"/>
      <c r="K116" s="10"/>
    </row>
    <row r="117" spans="1:11">
      <c r="A117" s="10"/>
      <c r="B117" s="26"/>
      <c r="C117" s="26"/>
      <c r="D117" s="26"/>
      <c r="E117" s="26"/>
      <c r="F117" s="26"/>
      <c r="G117" s="10"/>
      <c r="H117" s="26"/>
      <c r="I117" s="26"/>
      <c r="J117" s="10"/>
      <c r="K117" s="10"/>
    </row>
    <row r="118" spans="1:11">
      <c r="A118" s="10"/>
      <c r="B118" s="26"/>
      <c r="C118" s="26"/>
      <c r="D118" s="26"/>
      <c r="E118" s="26"/>
      <c r="F118" s="26"/>
      <c r="G118" s="10"/>
      <c r="H118" s="26"/>
      <c r="I118" s="26"/>
      <c r="J118" s="10"/>
      <c r="K118" s="10"/>
    </row>
    <row r="119" spans="1:11">
      <c r="A119" s="10"/>
      <c r="B119" s="26"/>
      <c r="C119" s="26"/>
      <c r="D119" s="26"/>
      <c r="E119" s="26"/>
      <c r="F119" s="26"/>
      <c r="G119" s="10"/>
      <c r="H119" s="26"/>
      <c r="I119" s="26"/>
      <c r="J119" s="10"/>
      <c r="K119" s="10"/>
    </row>
    <row r="120" spans="1:11">
      <c r="A120" s="10"/>
      <c r="B120" s="26"/>
      <c r="C120" s="26"/>
      <c r="D120" s="26"/>
      <c r="E120" s="26"/>
      <c r="F120" s="26"/>
      <c r="G120" s="10"/>
      <c r="H120" s="26"/>
      <c r="I120" s="26"/>
      <c r="J120" s="10"/>
      <c r="K120" s="10"/>
    </row>
    <row r="121" spans="1:11">
      <c r="A121" s="10"/>
      <c r="B121" s="26"/>
      <c r="C121" s="26"/>
      <c r="D121" s="26"/>
      <c r="E121" s="26"/>
      <c r="F121" s="26"/>
      <c r="G121" s="10"/>
      <c r="H121" s="26"/>
      <c r="I121" s="26"/>
      <c r="J121" s="10"/>
      <c r="K121" s="10"/>
    </row>
    <row r="122" spans="1:11">
      <c r="A122" s="10"/>
      <c r="B122" s="26"/>
      <c r="C122" s="26"/>
      <c r="D122" s="26"/>
      <c r="E122" s="26"/>
      <c r="F122" s="26"/>
      <c r="G122" s="10"/>
      <c r="H122" s="26"/>
      <c r="I122" s="26"/>
      <c r="J122" s="10"/>
      <c r="K122" s="10"/>
    </row>
    <row r="123" spans="1:11">
      <c r="A123" s="10"/>
      <c r="B123" s="26"/>
      <c r="C123" s="26"/>
      <c r="D123" s="26"/>
      <c r="E123" s="26"/>
      <c r="F123" s="26"/>
      <c r="G123" s="10"/>
      <c r="H123" s="26"/>
      <c r="I123" s="26"/>
      <c r="J123" s="10"/>
      <c r="K123" s="10"/>
    </row>
    <row r="124" spans="1:11">
      <c r="A124" s="10"/>
      <c r="B124" s="26"/>
      <c r="C124" s="26"/>
      <c r="D124" s="26"/>
      <c r="E124" s="26"/>
      <c r="F124" s="26"/>
      <c r="G124" s="10"/>
      <c r="H124" s="26"/>
      <c r="I124" s="26"/>
      <c r="J124" s="10"/>
      <c r="K124" s="10"/>
    </row>
    <row r="125" spans="1:11">
      <c r="A125" s="10"/>
      <c r="B125" s="26"/>
      <c r="C125" s="26"/>
      <c r="D125" s="26"/>
      <c r="E125" s="26"/>
      <c r="F125" s="26"/>
      <c r="G125" s="10"/>
      <c r="H125" s="26"/>
      <c r="I125" s="26"/>
      <c r="J125" s="10"/>
      <c r="K125" s="10"/>
    </row>
    <row r="126" spans="1:11">
      <c r="A126" s="10"/>
      <c r="B126" s="26"/>
      <c r="C126" s="26"/>
      <c r="D126" s="26"/>
      <c r="E126" s="26"/>
      <c r="F126" s="26"/>
      <c r="G126" s="10"/>
      <c r="H126" s="26"/>
      <c r="I126" s="26"/>
      <c r="J126" s="10"/>
      <c r="K126" s="10"/>
    </row>
    <row r="127" spans="1:11">
      <c r="A127" s="10"/>
      <c r="B127" s="26"/>
      <c r="C127" s="26"/>
      <c r="D127" s="26"/>
      <c r="E127" s="26"/>
      <c r="F127" s="26"/>
      <c r="G127" s="10"/>
      <c r="H127" s="26"/>
      <c r="I127" s="26"/>
      <c r="J127" s="10"/>
      <c r="K127" s="10"/>
    </row>
    <row r="128" spans="1:11">
      <c r="A128" s="10"/>
      <c r="B128" s="26"/>
      <c r="C128" s="26"/>
      <c r="D128" s="26"/>
      <c r="E128" s="26"/>
      <c r="F128" s="26"/>
      <c r="G128" s="10"/>
      <c r="H128" s="26"/>
      <c r="I128" s="26"/>
      <c r="J128" s="10"/>
      <c r="K128" s="10"/>
    </row>
  </sheetData>
  <customSheetViews>
    <customSheetView guid="{9BB43D49-5D78-4E4A-AB52-EDF70C494511}" showPageBreaks="1" showGridLines="0" printArea="1" hiddenColumns="1" state="hidden">
      <selection activeCell="M72" sqref="M72"/>
      <pageMargins left="0.7" right="0.7" top="0.75" bottom="0.75" header="0.3" footer="0.3"/>
      <pageSetup scale="45" fitToHeight="2" orientation="portrait" horizontalDpi="300" verticalDpi="300" r:id="rId1"/>
      <headerFooter alignWithMargins="0">
        <oddHeader>&amp;CAttachment B
NOx BACT Analysis
Based on EPA Algorithms for Traditional SCR</oddHeader>
      </headerFooter>
    </customSheetView>
  </customSheetViews>
  <mergeCells count="1">
    <mergeCell ref="A55:E55"/>
  </mergeCells>
  <conditionalFormatting sqref="B14:B42 B56:B57 B44:B54 B59:B71 B73:B78 B85:B110">
    <cfRule type="expression" dxfId="7" priority="13">
      <formula>$J14="N/A"</formula>
    </cfRule>
    <cfRule type="expression" dxfId="6" priority="14">
      <formula>$J14="Req'd"</formula>
    </cfRule>
  </conditionalFormatting>
  <conditionalFormatting sqref="B79:B83">
    <cfRule type="expression" dxfId="5" priority="5">
      <formula>$J79="N/A"</formula>
    </cfRule>
    <cfRule type="expression" dxfId="4" priority="6">
      <formula>$J79="Req'd"</formula>
    </cfRule>
  </conditionalFormatting>
  <conditionalFormatting sqref="B72">
    <cfRule type="expression" dxfId="3" priority="3">
      <formula>$J72="N/A"</formula>
    </cfRule>
    <cfRule type="expression" dxfId="2" priority="4">
      <formula>$J72="Req'd"</formula>
    </cfRule>
  </conditionalFormatting>
  <conditionalFormatting sqref="B84">
    <cfRule type="expression" dxfId="1" priority="1">
      <formula>$J84="N/A"</formula>
    </cfRule>
    <cfRule type="expression" dxfId="0" priority="2">
      <formula>$J84="Req'd"</formula>
    </cfRule>
  </conditionalFormatting>
  <dataValidations count="1">
    <dataValidation type="list" allowBlank="1" showInputMessage="1" showErrorMessage="1" sqref="B10" xr:uid="{00000000-0002-0000-0800-000000000000}">
      <formula1>"NOx,SOx,CO,VOC,PM"</formula1>
    </dataValidation>
  </dataValidations>
  <pageMargins left="0.7" right="0.7" top="0.75" bottom="0.75" header="0.3" footer="0.3"/>
  <pageSetup scale="45" fitToHeight="2" orientation="portrait" horizontalDpi="300" verticalDpi="300" r:id="rId2"/>
  <headerFooter alignWithMargins="0">
    <oddHeader>&amp;CAttachment B
NOx BACT Analysis
Based on EPA Algorithms for Traditional SCR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input_optimization</vt:lpstr>
      <vt:lpstr>Output Summary</vt:lpstr>
      <vt:lpstr>SCR Heater</vt:lpstr>
      <vt:lpstr>DLN, ULNB Turbine</vt:lpstr>
      <vt:lpstr>DLN, ULNB Heater</vt:lpstr>
      <vt:lpstr>Turbines CCS</vt:lpstr>
      <vt:lpstr>Ox Cat Heater</vt:lpstr>
      <vt:lpstr>Generic</vt:lpstr>
      <vt:lpstr>Pollutant</vt:lpstr>
      <vt:lpstr>'DLN, ULNB Heater'!Print_Area</vt:lpstr>
      <vt:lpstr>'DLN, ULNB Turbine'!Print_Area</vt:lpstr>
      <vt:lpstr>Generic!Print_Area</vt:lpstr>
      <vt:lpstr>input_optimization!Print_Area</vt:lpstr>
      <vt:lpstr>'Ox Cat Heater'!Print_Area</vt:lpstr>
      <vt:lpstr>'SCR Heater'!Print_Area</vt:lpstr>
      <vt:lpstr>'Turbines CCS'!Print_Area</vt:lpstr>
      <vt:lpstr>'Turbines CCS'!Print_Titles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Gertler</dc:creator>
  <cp:lastModifiedBy>Jones, David</cp:lastModifiedBy>
  <cp:lastPrinted>2017-10-19T21:52:59Z</cp:lastPrinted>
  <dcterms:created xsi:type="dcterms:W3CDTF">2015-01-30T01:03:41Z</dcterms:created>
  <dcterms:modified xsi:type="dcterms:W3CDTF">2020-07-13T21:02:44Z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3371c1e-a8c3-495e-b990-7dfcb00e1522_Enabled">
    <vt:lpwstr>True</vt:lpwstr>
  </property>
  <property fmtid="{D5CDD505-2E9C-101B-9397-08002B2CF9AE}" pid="3" name="MSIP_Label_a3371c1e-a8c3-495e-b990-7dfcb00e1522_SiteId">
    <vt:lpwstr>ea80952e-a476-42d4-aaf4-5457852b0f7e</vt:lpwstr>
  </property>
  <property fmtid="{D5CDD505-2E9C-101B-9397-08002B2CF9AE}" pid="4" name="MSIP_Label_a3371c1e-a8c3-495e-b990-7dfcb00e1522_Ref">
    <vt:lpwstr>https://api.informationprotection.azure.com/api/ea80952e-a476-42d4-aaf4-5457852b0f7e</vt:lpwstr>
  </property>
  <property fmtid="{D5CDD505-2E9C-101B-9397-08002B2CF9AE}" pid="5" name="MSIP_Label_a3371c1e-a8c3-495e-b990-7dfcb00e1522_Owner">
    <vt:lpwstr>Jim.Pfeiffer@bp.com</vt:lpwstr>
  </property>
  <property fmtid="{D5CDD505-2E9C-101B-9397-08002B2CF9AE}" pid="6" name="MSIP_Label_a3371c1e-a8c3-495e-b990-7dfcb00e1522_SetDate">
    <vt:lpwstr>2017-12-13T12:36:12.3767818-06:00</vt:lpwstr>
  </property>
  <property fmtid="{D5CDD505-2E9C-101B-9397-08002B2CF9AE}" pid="7" name="MSIP_Label_a3371c1e-a8c3-495e-b990-7dfcb00e1522_Name">
    <vt:lpwstr>Confidential</vt:lpwstr>
  </property>
  <property fmtid="{D5CDD505-2E9C-101B-9397-08002B2CF9AE}" pid="8" name="MSIP_Label_a3371c1e-a8c3-495e-b990-7dfcb00e1522_Application">
    <vt:lpwstr>Microsoft Azure Information Protection</vt:lpwstr>
  </property>
  <property fmtid="{D5CDD505-2E9C-101B-9397-08002B2CF9AE}" pid="9" name="MSIP_Label_a3371c1e-a8c3-495e-b990-7dfcb00e1522_Extended_MSFT_Method">
    <vt:lpwstr>Manual</vt:lpwstr>
  </property>
  <property fmtid="{D5CDD505-2E9C-101B-9397-08002B2CF9AE}" pid="10" name="Sensitivity">
    <vt:lpwstr>Confidential</vt:lpwstr>
  </property>
</Properties>
</file>