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Q\PERMITS\AIRFACS\Alaska Gasline Dev Corp (AK LNG Project)\Liquefaction Plant (1539)\Construction\CPT01\Pre\BACT Calcs\"/>
    </mc:Choice>
  </mc:AlternateContent>
  <xr:revisionPtr revIDLastSave="0" documentId="13_ncr:1_{82E76B2D-176B-47F9-A511-7AD1AEB04F7F}" xr6:coauthVersionLast="45" xr6:coauthVersionMax="45" xr10:uidLastSave="{00000000-0000-0000-0000-000000000000}"/>
  <bookViews>
    <workbookView xWindow="-22650" yWindow="2520" windowWidth="19905" windowHeight="6435" tabRatio="849" firstSheet="3" activeTab="4" xr2:uid="{00000000-000D-0000-FFFF-FFFF00000000}"/>
  </bookViews>
  <sheets>
    <sheet name="SNCR - Urea" sheetId="11" state="hidden" r:id="rId1"/>
    <sheet name="SNCR - Ammonia" sheetId="19" state="hidden" r:id="rId2"/>
    <sheet name="SCR - Ammonia" sheetId="18" state="hidden" r:id="rId3"/>
    <sheet name="PowerGen Comp" sheetId="33" r:id="rId4"/>
    <sheet name="A.4_PGen -  SCR" sheetId="49" r:id="rId5"/>
    <sheet name="PGen -  SCR (EPA)" sheetId="45" state="hidden" r:id="rId6"/>
    <sheet name="Compressor (15-2)" sheetId="46" r:id="rId7"/>
    <sheet name="A.5_TG Compression -  SCR" sheetId="48" r:id="rId8"/>
    <sheet name="TG Compression -  SCR (EPA)" sheetId="47" state="hidden" r:id="rId9"/>
    <sheet name="BackUp--&gt;" sheetId="41" r:id="rId10"/>
    <sheet name="Utility Costs" sheetId="21" r:id="rId11"/>
    <sheet name="LNG Turbines - Not Used" sheetId="28" r:id="rId12"/>
    <sheet name="LNG Fuel" sheetId="29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Order1" hidden="1">255</definedName>
    <definedName name="A" localSheetId="4">#REF!</definedName>
    <definedName name="A" localSheetId="7">#REF!</definedName>
    <definedName name="A" localSheetId="5">#REF!</definedName>
    <definedName name="A" localSheetId="8">#REF!</definedName>
    <definedName name="a" hidden="1">'[1]Exhaust Flow Comparison'!$B$166:$B$168</definedName>
    <definedName name="Annual_Hours">8760</definedName>
    <definedName name="b" hidden="1">'[1]Exhaust Flow Comparison'!$B$166:$B$168</definedName>
    <definedName name="Boiler_Eff">'[2]Support Input Data'!$D$6</definedName>
    <definedName name="Boiler_hp_to_MMBtu">'[2]Support Input Data'!$D$4</definedName>
    <definedName name="BSFC_hp">'[2]Support Input Data'!$D$2</definedName>
    <definedName name="BSFC_kw">'[2]Support Input Data'!$D$3</definedName>
    <definedName name="CONV_tpy_to_gs">907184.7/31536000</definedName>
    <definedName name="Daily_Factor">1</definedName>
    <definedName name="dc" localSheetId="4">#REF!</definedName>
    <definedName name="dc" localSheetId="7">#REF!</definedName>
    <definedName name="dc" localSheetId="5">#REF!</definedName>
    <definedName name="dc" localSheetId="8">#REF!</definedName>
    <definedName name="dc">#REF!</definedName>
    <definedName name="DLE" localSheetId="4">#REF!</definedName>
    <definedName name="DLE" localSheetId="7">#REF!</definedName>
    <definedName name="DLE" localSheetId="5">#REF!</definedName>
    <definedName name="DLE" localSheetId="8">#REF!</definedName>
    <definedName name="DLE">#REF!</definedName>
    <definedName name="DPLeva" localSheetId="4">#REF!</definedName>
    <definedName name="DPLeva" localSheetId="7">#REF!</definedName>
    <definedName name="DPLeva" localSheetId="5">#REF!</definedName>
    <definedName name="DPLeva" localSheetId="8">#REF!</definedName>
    <definedName name="DPLeva">#REF!</definedName>
    <definedName name="Egen_efficiency">'[2]Support Input Data'!$D$5</definedName>
    <definedName name="eps" localSheetId="4">#REF!</definedName>
    <definedName name="eps" localSheetId="7">#REF!</definedName>
    <definedName name="eps" localSheetId="5">#REF!</definedName>
    <definedName name="eps" localSheetId="8">#REF!</definedName>
    <definedName name="eps">#REF!</definedName>
    <definedName name="EqDiam" localSheetId="4">#REF!</definedName>
    <definedName name="EqDiam" localSheetId="7">#REF!</definedName>
    <definedName name="EqDiam" localSheetId="5">#REF!</definedName>
    <definedName name="EqDiam" localSheetId="8">#REF!</definedName>
    <definedName name="EqDiam">#REF!</definedName>
    <definedName name="f" localSheetId="4">#REF!</definedName>
    <definedName name="f" localSheetId="7">#REF!</definedName>
    <definedName name="f" localSheetId="5">#REF!</definedName>
    <definedName name="f" localSheetId="8">#REF!</definedName>
    <definedName name="f">#REF!</definedName>
    <definedName name="frac_hrs">(8/12)</definedName>
    <definedName name="G" localSheetId="4">#REF!</definedName>
    <definedName name="G" localSheetId="7">#REF!</definedName>
    <definedName name="G" localSheetId="5">#REF!</definedName>
    <definedName name="G" localSheetId="8">#REF!</definedName>
    <definedName name="G">#REF!</definedName>
    <definedName name="Gc" localSheetId="4">#REF!</definedName>
    <definedName name="Gc" localSheetId="7">#REF!</definedName>
    <definedName name="Gc" localSheetId="5">#REF!</definedName>
    <definedName name="Gc" localSheetId="8">#REF!</definedName>
    <definedName name="Gc">#REF!</definedName>
    <definedName name="h" localSheetId="4">#REF!</definedName>
    <definedName name="h" localSheetId="7">#REF!</definedName>
    <definedName name="h" localSheetId="5">#REF!</definedName>
    <definedName name="h" localSheetId="8">#REF!</definedName>
    <definedName name="h">#REF!</definedName>
    <definedName name="H2S">[3]Variables!$C$12</definedName>
    <definedName name="HHV">[3]Variables!$C$8</definedName>
    <definedName name="HHV_LHV_Ratio">'[2]Support Input Data'!$D$9/'[2]Support Input Data'!$D$10</definedName>
    <definedName name="i" localSheetId="4">#REF!</definedName>
    <definedName name="i" localSheetId="7">#REF!</definedName>
    <definedName name="i" localSheetId="5">#REF!</definedName>
    <definedName name="i" localSheetId="8">#REF!</definedName>
    <definedName name="i">#REF!</definedName>
    <definedName name="k" hidden="1">'[1]Exhaust Flow Comparison'!$C$166:$C$168</definedName>
    <definedName name="L" localSheetId="4">#REF!</definedName>
    <definedName name="L" localSheetId="7">#REF!</definedName>
    <definedName name="L" localSheetId="5">#REF!</definedName>
    <definedName name="L" localSheetId="8">#REF!</definedName>
    <definedName name="L">#REF!</definedName>
    <definedName name="Liquid_Fuel_HHV">'[2]Support Input Data'!$D$9</definedName>
    <definedName name="LOCATION">#N/A</definedName>
    <definedName name="n" localSheetId="4">#REF!</definedName>
    <definedName name="n" localSheetId="7">#REF!</definedName>
    <definedName name="n" localSheetId="5">#REF!</definedName>
    <definedName name="n" localSheetId="8">#REF!</definedName>
    <definedName name="n">#REF!</definedName>
    <definedName name="Non_ULSD_Fuel_Sulfur">'[2]Support Input Data'!$D$14</definedName>
    <definedName name="NRe" localSheetId="4">#REF!</definedName>
    <definedName name="NRe" localSheetId="7">#REF!</definedName>
    <definedName name="NRe" localSheetId="5">#REF!</definedName>
    <definedName name="NRe" localSheetId="8">#REF!</definedName>
    <definedName name="NRe">#REF!</definedName>
    <definedName name="phIImnth_adj">8760/4380</definedName>
    <definedName name="PhiS" localSheetId="4">#REF!</definedName>
    <definedName name="PhiS" localSheetId="7">#REF!</definedName>
    <definedName name="PhiS" localSheetId="5">#REF!</definedName>
    <definedName name="PhiS" localSheetId="8">#REF!</definedName>
    <definedName name="PhiS">#REF!</definedName>
    <definedName name="Pollutant" localSheetId="4">#REF!</definedName>
    <definedName name="Pollutant" localSheetId="7">#REF!</definedName>
    <definedName name="Pollutant" localSheetId="5">#REF!</definedName>
    <definedName name="Pollutant" localSheetId="8">#REF!</definedName>
    <definedName name="Pollutant">[4]Generic!$B$10</definedName>
    <definedName name="pph2gps">(4380/1)*(1/(8760*3600))*(453.592/1)</definedName>
    <definedName name="pph2gpsmp">(4380/1)*(1/(8760*3600))*(453.592/1)</definedName>
    <definedName name="pph2gpsPG5371">(730/1)*(1/(8760*3600))*(453.592/1)</definedName>
    <definedName name="pph2gpspgt10">(4380/1)*(1/(8760*3600))*(453.592/1)</definedName>
    <definedName name="pph2gpsuhm">(4380/1)*(1/(8760*3600))*(453.592/1)</definedName>
    <definedName name="_xlnm.Print_Area" localSheetId="4">'A.4_PGen -  SCR'!$A$1:$G$152</definedName>
    <definedName name="_xlnm.Print_Area" localSheetId="7">'A.5_TG Compression -  SCR'!$A$1:$G$152</definedName>
    <definedName name="_xlnm.Print_Area" localSheetId="6">'Compressor (15-2)'!$A$7:$G$72</definedName>
    <definedName name="_xlnm.Print_Area" localSheetId="5">'PGen -  SCR (EPA)'!$A$1:$G$152</definedName>
    <definedName name="_xlnm.Print_Area" localSheetId="3">'PowerGen Comp'!$A$7:$G$72</definedName>
    <definedName name="_xlnm.Print_Area" localSheetId="2">'SCR - Ammonia'!$A$5:$G$86</definedName>
    <definedName name="_xlnm.Print_Area" localSheetId="1">'SNCR - Ammonia'!$A$5:$G$85</definedName>
    <definedName name="_xlnm.Print_Area" localSheetId="0">'SNCR - Urea'!$A$5:$G$84</definedName>
    <definedName name="_xlnm.Print_Area" localSheetId="8">'TG Compression -  SCR (EPA)'!$A$1:$G$152</definedName>
    <definedName name="_xlnm.Print_Area" localSheetId="10">'Utility Costs'!$A$1:$J$44</definedName>
    <definedName name="_xlnm.Print_Titles" localSheetId="4">'A.4_PGen -  SCR'!$1:$4</definedName>
    <definedName name="_xlnm.Print_Titles" localSheetId="7">'A.5_TG Compression -  SCR'!$1:$4</definedName>
    <definedName name="_xlnm.Print_Titles" localSheetId="5">'PGen -  SCR (EPA)'!$1:$4</definedName>
    <definedName name="_xlnm.Print_Titles" localSheetId="8">'TG Compression -  SCR (EPA)'!$1:$4</definedName>
    <definedName name="RhoF" localSheetId="4">#REF!</definedName>
    <definedName name="RhoF" localSheetId="7">#REF!</definedName>
    <definedName name="RhoF" localSheetId="5">#REF!</definedName>
    <definedName name="RhoF" localSheetId="8">#REF!</definedName>
    <definedName name="RhoF">#REF!</definedName>
    <definedName name="scenario_adj">8760/(7*730)</definedName>
    <definedName name="SCR" localSheetId="4">#REF!</definedName>
    <definedName name="SCR" localSheetId="7">#REF!</definedName>
    <definedName name="SCR" localSheetId="5">#REF!</definedName>
    <definedName name="SCR" localSheetId="8">#REF!</definedName>
    <definedName name="SCR">#REF!</definedName>
    <definedName name="Shape" localSheetId="4">#REF!</definedName>
    <definedName name="Shape" localSheetId="7">#REF!</definedName>
    <definedName name="Shape" localSheetId="5">#REF!</definedName>
    <definedName name="Shape" localSheetId="8">#REF!</definedName>
    <definedName name="Shape">#REF!</definedName>
    <definedName name="StateofFlowTable" localSheetId="4">#REF!</definedName>
    <definedName name="StateofFlowTable" localSheetId="7">#REF!</definedName>
    <definedName name="StateofFlowTable" localSheetId="5">#REF!</definedName>
    <definedName name="StateofFlowTable" localSheetId="8">#REF!</definedName>
    <definedName name="StateofFlowTable">#REF!</definedName>
    <definedName name="Support_Equipment">'[2]Support Equip Inventory'!$B$2:$D$84</definedName>
    <definedName name="T2_T3_T4_Avg_CO">'[5]A Coeff'!$D$15</definedName>
    <definedName name="T2_T3_T4_Avg_HC">'[5]A Coeff'!$G$15</definedName>
    <definedName name="T2_T3_T4_Avg_NOx">'[5]A Coeff'!$E$15</definedName>
    <definedName name="T2_T3_T4_Avg_PM">'[5]A Coeff'!$F$15</definedName>
    <definedName name="T3_T4_Avg_CO">'[6]A Coeff'!$D$15</definedName>
    <definedName name="T3_T4_Avg_HC">'[6]A Coeff'!$G$15</definedName>
    <definedName name="T3_T4_Avg_NOx">'[6]A Coeff'!$E$15</definedName>
    <definedName name="T3_T4_Avg_PM">'[6]A Coeff'!$F$15</definedName>
    <definedName name="V" localSheetId="4">#REF!</definedName>
    <definedName name="V" localSheetId="7">#REF!</definedName>
    <definedName name="V" localSheetId="5">#REF!</definedName>
    <definedName name="V" localSheetId="8">#REF!</definedName>
    <definedName name="V">#REF!</definedName>
    <definedName name="Visc" localSheetId="4">#REF!</definedName>
    <definedName name="Visc" localSheetId="7">#REF!</definedName>
    <definedName name="Visc" localSheetId="5">#REF!</definedName>
    <definedName name="Visc" localSheetId="8">#REF!</definedName>
    <definedName name="Visc">#REF!</definedName>
    <definedName name="X" hidden="1">'[1]Exhaust Flow Comparison'!$B$166:$B$168</definedName>
    <definedName name="y" hidden="1">'[1]Exhaust Flow Comparison'!$C$166:$C$168</definedName>
    <definedName name="z" hidden="1">'[1]Exhaust Flow Comparison'!$B$166:$B$168</definedName>
    <definedName name="Z_9BB43D49_5D78_4E4A_AB52_EDF70C494511_.wvu.Cols" localSheetId="4" hidden="1">'A.4_PGen -  SCR'!$I:$M</definedName>
    <definedName name="Z_9BB43D49_5D78_4E4A_AB52_EDF70C494511_.wvu.Cols" localSheetId="5" hidden="1">'PGen -  SCR (EPA)'!$I:$M</definedName>
    <definedName name="Z_9BB43D49_5D78_4E4A_AB52_EDF70C494511_.wvu.PrintArea" localSheetId="4" hidden="1">'A.4_PGen -  SCR'!$A$1:$G$152</definedName>
    <definedName name="Z_9BB43D49_5D78_4E4A_AB52_EDF70C494511_.wvu.PrintArea" localSheetId="5" hidden="1">'PGen -  SCR (EPA)'!$A$1:$G$152</definedName>
    <definedName name="Z_9BB43D49_5D78_4E4A_AB52_EDF70C494511_.wvu.PrintTitles" localSheetId="4" hidden="1">'A.4_PGen -  SCR'!$1:$4</definedName>
    <definedName name="Z_9BB43D49_5D78_4E4A_AB52_EDF70C494511_.wvu.PrintTitles" localSheetId="5" hidden="1">'PGen -  SCR (EPA)'!$1:$4</definedName>
    <definedName name="Z_9BB43D49_5D78_4E4A_AB52_EDF70C494511_.wvu.Rows" localSheetId="4" hidden="1">'A.4_PGen -  SCR'!$81:$84</definedName>
    <definedName name="Z_9BB43D49_5D78_4E4A_AB52_EDF70C494511_.wvu.Rows" localSheetId="5" hidden="1">'PGen -  SCR (EPA)'!$81:$84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0" i="49" l="1"/>
  <c r="I40" i="21" l="1"/>
  <c r="B130" i="47" s="1"/>
  <c r="B130" i="48" l="1"/>
  <c r="B130" i="45"/>
  <c r="B130" i="49"/>
  <c r="L149" i="49" l="1"/>
  <c r="J149" i="49"/>
  <c r="L148" i="49"/>
  <c r="J148" i="49"/>
  <c r="L143" i="49"/>
  <c r="L142" i="49"/>
  <c r="B142" i="49"/>
  <c r="J142" i="49" s="1"/>
  <c r="L141" i="49"/>
  <c r="L140" i="49"/>
  <c r="J140" i="49"/>
  <c r="I142" i="49" s="1"/>
  <c r="A142" i="49" s="1"/>
  <c r="A140" i="49"/>
  <c r="K138" i="49"/>
  <c r="L136" i="49"/>
  <c r="J136" i="49"/>
  <c r="L135" i="49"/>
  <c r="K134" i="49"/>
  <c r="J134" i="49"/>
  <c r="B134" i="49"/>
  <c r="L134" i="49" s="1"/>
  <c r="J130" i="49"/>
  <c r="A130" i="49"/>
  <c r="L128" i="49"/>
  <c r="L126" i="49"/>
  <c r="J126" i="49"/>
  <c r="L125" i="49"/>
  <c r="J125" i="49"/>
  <c r="K123" i="49"/>
  <c r="J119" i="49"/>
  <c r="A119" i="49"/>
  <c r="J115" i="49"/>
  <c r="I106" i="49" s="1"/>
  <c r="J103" i="49" s="1"/>
  <c r="A115" i="49"/>
  <c r="B114" i="49"/>
  <c r="J114" i="49" s="1"/>
  <c r="A114" i="49"/>
  <c r="L110" i="49"/>
  <c r="L109" i="49"/>
  <c r="L108" i="49"/>
  <c r="I108" i="49"/>
  <c r="I103" i="49"/>
  <c r="L101" i="49"/>
  <c r="L100" i="49"/>
  <c r="L99" i="49"/>
  <c r="L98" i="49"/>
  <c r="I98" i="49"/>
  <c r="J94" i="49"/>
  <c r="L105" i="49" s="1"/>
  <c r="B93" i="49"/>
  <c r="L81" i="49"/>
  <c r="J67" i="49"/>
  <c r="J66" i="49"/>
  <c r="E62" i="49"/>
  <c r="E61" i="49"/>
  <c r="E60" i="49"/>
  <c r="E59" i="49"/>
  <c r="L54" i="49"/>
  <c r="J54" i="49"/>
  <c r="L53" i="49"/>
  <c r="J53" i="49"/>
  <c r="E52" i="49"/>
  <c r="E47" i="49"/>
  <c r="L45" i="49"/>
  <c r="J45" i="49"/>
  <c r="C46" i="49" s="1"/>
  <c r="J46" i="49" s="1"/>
  <c r="E39" i="49"/>
  <c r="E38" i="49"/>
  <c r="E34" i="49"/>
  <c r="E33" i="49"/>
  <c r="E32" i="49"/>
  <c r="E31" i="49"/>
  <c r="E30" i="49"/>
  <c r="E23" i="49"/>
  <c r="E22" i="49"/>
  <c r="E21" i="49"/>
  <c r="E20" i="49"/>
  <c r="E19" i="49"/>
  <c r="E18" i="49"/>
  <c r="E14" i="49"/>
  <c r="E13" i="49"/>
  <c r="C13" i="49"/>
  <c r="J13" i="49" s="1"/>
  <c r="L12" i="49"/>
  <c r="J12" i="49"/>
  <c r="C14" i="49"/>
  <c r="J14" i="49" s="1"/>
  <c r="E18" i="48"/>
  <c r="E19" i="48"/>
  <c r="E20" i="48"/>
  <c r="E21" i="48"/>
  <c r="E22" i="48"/>
  <c r="E23" i="48"/>
  <c r="L149" i="48"/>
  <c r="J149" i="48"/>
  <c r="L148" i="48"/>
  <c r="J148" i="48"/>
  <c r="L143" i="48"/>
  <c r="L142" i="48"/>
  <c r="B142" i="48"/>
  <c r="J142" i="48" s="1"/>
  <c r="L141" i="48"/>
  <c r="L140" i="48"/>
  <c r="J140" i="48"/>
  <c r="I142" i="48" s="1"/>
  <c r="A142" i="48" s="1"/>
  <c r="A140" i="48"/>
  <c r="K138" i="48"/>
  <c r="L136" i="48"/>
  <c r="J136" i="48"/>
  <c r="L135" i="48"/>
  <c r="K134" i="48"/>
  <c r="J134" i="48"/>
  <c r="B134" i="48"/>
  <c r="L134" i="48" s="1"/>
  <c r="J130" i="48"/>
  <c r="A130" i="48"/>
  <c r="L128" i="48"/>
  <c r="L126" i="48"/>
  <c r="J126" i="48"/>
  <c r="L125" i="48"/>
  <c r="J125" i="48"/>
  <c r="K123" i="48"/>
  <c r="J119" i="48"/>
  <c r="A119" i="48"/>
  <c r="J115" i="48"/>
  <c r="I110" i="48" s="1"/>
  <c r="J108" i="48" s="1"/>
  <c r="A115" i="48"/>
  <c r="B114" i="48"/>
  <c r="J114" i="48" s="1"/>
  <c r="A114" i="48"/>
  <c r="L110" i="48"/>
  <c r="L109" i="48"/>
  <c r="L108" i="48"/>
  <c r="I108" i="48"/>
  <c r="I106" i="48"/>
  <c r="I105" i="48"/>
  <c r="J103" i="48"/>
  <c r="I103" i="48"/>
  <c r="L100" i="48"/>
  <c r="B100" i="48"/>
  <c r="L98" i="48" s="1"/>
  <c r="I98" i="48"/>
  <c r="J94" i="48"/>
  <c r="L106" i="48" s="1"/>
  <c r="L93" i="48"/>
  <c r="J93" i="48"/>
  <c r="L81" i="48"/>
  <c r="J67" i="48"/>
  <c r="J66" i="48"/>
  <c r="E62" i="48"/>
  <c r="E61" i="48"/>
  <c r="E60" i="48"/>
  <c r="E59" i="48"/>
  <c r="L54" i="48"/>
  <c r="J54" i="48"/>
  <c r="L53" i="48"/>
  <c r="J53" i="48"/>
  <c r="E52" i="48"/>
  <c r="E47" i="48"/>
  <c r="L45" i="48"/>
  <c r="J45" i="48"/>
  <c r="C46" i="48" s="1"/>
  <c r="J46" i="48" s="1"/>
  <c r="E39" i="48"/>
  <c r="E38" i="48"/>
  <c r="E34" i="48"/>
  <c r="E33" i="48"/>
  <c r="E32" i="48"/>
  <c r="E31" i="48"/>
  <c r="E30" i="48"/>
  <c r="E14" i="48"/>
  <c r="E13" i="48"/>
  <c r="L12" i="48"/>
  <c r="J12" i="48"/>
  <c r="C13" i="48"/>
  <c r="J13" i="48" s="1"/>
  <c r="I100" i="49" l="1"/>
  <c r="J98" i="49" s="1"/>
  <c r="L101" i="48"/>
  <c r="L104" i="49"/>
  <c r="L106" i="49"/>
  <c r="B76" i="48"/>
  <c r="B68" i="49"/>
  <c r="B68" i="48"/>
  <c r="I109" i="49"/>
  <c r="I104" i="49"/>
  <c r="I99" i="49"/>
  <c r="L103" i="49"/>
  <c r="J93" i="49"/>
  <c r="J11" i="49"/>
  <c r="L11" i="49"/>
  <c r="L93" i="49"/>
  <c r="I105" i="49"/>
  <c r="I101" i="49"/>
  <c r="I110" i="49"/>
  <c r="J108" i="49" s="1"/>
  <c r="I109" i="48"/>
  <c r="I99" i="48"/>
  <c r="I104" i="48"/>
  <c r="L99" i="48"/>
  <c r="L103" i="48"/>
  <c r="I100" i="48"/>
  <c r="J98" i="48" s="1"/>
  <c r="L104" i="48"/>
  <c r="C14" i="48"/>
  <c r="J14" i="48" s="1"/>
  <c r="J11" i="48"/>
  <c r="L11" i="48"/>
  <c r="I101" i="48"/>
  <c r="L105" i="48"/>
  <c r="B76" i="49" l="1"/>
  <c r="I141" i="48"/>
  <c r="C15" i="49"/>
  <c r="J15" i="49" s="1"/>
  <c r="J16" i="49" s="1"/>
  <c r="I141" i="49"/>
  <c r="B75" i="49"/>
  <c r="B77" i="49" s="1"/>
  <c r="L24" i="49"/>
  <c r="J24" i="49"/>
  <c r="C15" i="48"/>
  <c r="J15" i="48" s="1"/>
  <c r="J16" i="48" s="1"/>
  <c r="L24" i="48"/>
  <c r="J24" i="48"/>
  <c r="B75" i="48"/>
  <c r="B77" i="48" s="1"/>
  <c r="B16" i="49" l="1"/>
  <c r="B16" i="48"/>
  <c r="B93" i="45"/>
  <c r="C31" i="49" l="1"/>
  <c r="J31" i="49" s="1"/>
  <c r="C21" i="49"/>
  <c r="J21" i="49" s="1"/>
  <c r="C22" i="49"/>
  <c r="J22" i="49" s="1"/>
  <c r="C20" i="49"/>
  <c r="J20" i="49" s="1"/>
  <c r="C33" i="49"/>
  <c r="J33" i="49" s="1"/>
  <c r="C19" i="49"/>
  <c r="J19" i="49" s="1"/>
  <c r="C30" i="49"/>
  <c r="J30" i="49" s="1"/>
  <c r="C32" i="49"/>
  <c r="J32" i="49" s="1"/>
  <c r="C18" i="49"/>
  <c r="J18" i="49" s="1"/>
  <c r="C23" i="49"/>
  <c r="J23" i="49" s="1"/>
  <c r="C34" i="49"/>
  <c r="J34" i="49" s="1"/>
  <c r="C34" i="48"/>
  <c r="J34" i="48" s="1"/>
  <c r="C20" i="48"/>
  <c r="J20" i="48" s="1"/>
  <c r="C22" i="48"/>
  <c r="J22" i="48" s="1"/>
  <c r="C31" i="48"/>
  <c r="J31" i="48" s="1"/>
  <c r="C23" i="48"/>
  <c r="J23" i="48" s="1"/>
  <c r="C33" i="48"/>
  <c r="J33" i="48" s="1"/>
  <c r="C19" i="48"/>
  <c r="J19" i="48" s="1"/>
  <c r="C18" i="48"/>
  <c r="J18" i="48" s="1"/>
  <c r="C30" i="48"/>
  <c r="J30" i="48" s="1"/>
  <c r="C21" i="48"/>
  <c r="J21" i="48" s="1"/>
  <c r="C32" i="48"/>
  <c r="J32" i="48" s="1"/>
  <c r="B100" i="47"/>
  <c r="L98" i="47" s="1"/>
  <c r="C21" i="46"/>
  <c r="L149" i="47"/>
  <c r="J149" i="47"/>
  <c r="L148" i="47"/>
  <c r="J148" i="47"/>
  <c r="L143" i="47"/>
  <c r="L142" i="47"/>
  <c r="J142" i="47"/>
  <c r="B142" i="47"/>
  <c r="L141" i="47"/>
  <c r="L140" i="47"/>
  <c r="J140" i="47"/>
  <c r="I142" i="47" s="1"/>
  <c r="A142" i="47" s="1"/>
  <c r="A140" i="47"/>
  <c r="K138" i="47"/>
  <c r="L136" i="47"/>
  <c r="J136" i="47"/>
  <c r="L135" i="47"/>
  <c r="K134" i="47"/>
  <c r="B134" i="47"/>
  <c r="L134" i="47" s="1"/>
  <c r="A130" i="47"/>
  <c r="L128" i="47"/>
  <c r="L126" i="47"/>
  <c r="J126" i="47"/>
  <c r="L125" i="47"/>
  <c r="J125" i="47"/>
  <c r="K123" i="47"/>
  <c r="J119" i="47"/>
  <c r="A119" i="47"/>
  <c r="J115" i="47"/>
  <c r="I110" i="47" s="1"/>
  <c r="J108" i="47" s="1"/>
  <c r="B76" i="47" s="1"/>
  <c r="A115" i="47"/>
  <c r="B114" i="47"/>
  <c r="J114" i="47" s="1"/>
  <c r="A114" i="47"/>
  <c r="L110" i="47"/>
  <c r="L109" i="47"/>
  <c r="L108" i="47"/>
  <c r="I108" i="47"/>
  <c r="I103" i="47"/>
  <c r="L100" i="47"/>
  <c r="I98" i="47"/>
  <c r="J94" i="47"/>
  <c r="L106" i="47" s="1"/>
  <c r="L93" i="47"/>
  <c r="J93" i="47"/>
  <c r="L81" i="47"/>
  <c r="J67" i="47"/>
  <c r="B68" i="47" s="1"/>
  <c r="J66" i="47"/>
  <c r="E62" i="47"/>
  <c r="E61" i="47"/>
  <c r="E60" i="47"/>
  <c r="E59" i="47"/>
  <c r="L54" i="47"/>
  <c r="J54" i="47"/>
  <c r="L53" i="47"/>
  <c r="J53" i="47"/>
  <c r="E52" i="47"/>
  <c r="E47" i="47"/>
  <c r="L45" i="47"/>
  <c r="J45" i="47"/>
  <c r="C46" i="47" s="1"/>
  <c r="J46" i="47" s="1"/>
  <c r="E39" i="47"/>
  <c r="E38" i="47"/>
  <c r="E34" i="47"/>
  <c r="E33" i="47"/>
  <c r="E32" i="47"/>
  <c r="E31" i="47"/>
  <c r="E30" i="47"/>
  <c r="E24" i="47"/>
  <c r="E23" i="47"/>
  <c r="E22" i="47"/>
  <c r="E21" i="47"/>
  <c r="E20" i="47"/>
  <c r="E19" i="47"/>
  <c r="E18" i="47"/>
  <c r="E14" i="47"/>
  <c r="E13" i="47"/>
  <c r="L12" i="47"/>
  <c r="J12" i="47"/>
  <c r="G45" i="46"/>
  <c r="G43" i="46"/>
  <c r="J40" i="46"/>
  <c r="C40" i="46"/>
  <c r="J130" i="47" s="1"/>
  <c r="C32" i="46"/>
  <c r="G26" i="46"/>
  <c r="G25" i="46"/>
  <c r="C24" i="46"/>
  <c r="C26" i="46" s="1"/>
  <c r="C22" i="46"/>
  <c r="C11" i="46" s="1"/>
  <c r="C13" i="46"/>
  <c r="J134" i="47" l="1"/>
  <c r="J35" i="48"/>
  <c r="B35" i="48" s="1"/>
  <c r="I106" i="47"/>
  <c r="J103" i="47" s="1"/>
  <c r="I105" i="47"/>
  <c r="J35" i="49"/>
  <c r="B35" i="49" s="1"/>
  <c r="J25" i="49"/>
  <c r="J25" i="48"/>
  <c r="I99" i="47"/>
  <c r="I109" i="47"/>
  <c r="I104" i="47"/>
  <c r="L99" i="47"/>
  <c r="L103" i="47"/>
  <c r="I100" i="47"/>
  <c r="J98" i="47" s="1"/>
  <c r="B75" i="47" s="1"/>
  <c r="L104" i="47"/>
  <c r="I101" i="47"/>
  <c r="L105" i="47"/>
  <c r="C29" i="46"/>
  <c r="L101" i="47"/>
  <c r="B25" i="49" l="1"/>
  <c r="B26" i="49" s="1"/>
  <c r="J26" i="49"/>
  <c r="B25" i="48"/>
  <c r="B26" i="48" s="1"/>
  <c r="C38" i="48" s="1"/>
  <c r="J26" i="48"/>
  <c r="I141" i="47"/>
  <c r="C38" i="49" l="1"/>
  <c r="J38" i="49" s="1"/>
  <c r="J38" i="48"/>
  <c r="C39" i="48" s="1"/>
  <c r="J39" i="48" s="1"/>
  <c r="C39" i="49" l="1"/>
  <c r="J39" i="49" s="1"/>
  <c r="C6" i="28"/>
  <c r="C29" i="28"/>
  <c r="C21" i="33" l="1"/>
  <c r="C15" i="29" l="1"/>
  <c r="C13" i="29"/>
  <c r="C10" i="29"/>
  <c r="F36" i="28"/>
  <c r="E36" i="28"/>
  <c r="C33" i="28"/>
  <c r="G22" i="46" s="1"/>
  <c r="G23" i="46" s="1"/>
  <c r="C23" i="28"/>
  <c r="F20" i="28"/>
  <c r="E20" i="28"/>
  <c r="D20" i="28"/>
  <c r="C20" i="28"/>
  <c r="C24" i="33" l="1"/>
  <c r="L149" i="45"/>
  <c r="J149" i="45"/>
  <c r="L148" i="45"/>
  <c r="J148" i="45"/>
  <c r="L143" i="45"/>
  <c r="L142" i="45"/>
  <c r="B142" i="45"/>
  <c r="J142" i="45" s="1"/>
  <c r="L141" i="45"/>
  <c r="L140" i="45"/>
  <c r="J140" i="45"/>
  <c r="I142" i="45" s="1"/>
  <c r="A142" i="45" s="1"/>
  <c r="A140" i="45"/>
  <c r="K138" i="45"/>
  <c r="L136" i="45"/>
  <c r="J136" i="45"/>
  <c r="L135" i="45"/>
  <c r="K134" i="45"/>
  <c r="B134" i="45"/>
  <c r="J134" i="45" s="1"/>
  <c r="J130" i="45"/>
  <c r="A130" i="45"/>
  <c r="L128" i="45"/>
  <c r="L126" i="45"/>
  <c r="J126" i="45"/>
  <c r="L125" i="45"/>
  <c r="J125" i="45"/>
  <c r="K123" i="45"/>
  <c r="J119" i="45"/>
  <c r="A119" i="45"/>
  <c r="J115" i="45"/>
  <c r="I110" i="45" s="1"/>
  <c r="J108" i="45" s="1"/>
  <c r="A115" i="45"/>
  <c r="B114" i="45"/>
  <c r="J114" i="45" s="1"/>
  <c r="A114" i="45"/>
  <c r="L110" i="45"/>
  <c r="L109" i="45"/>
  <c r="L108" i="45"/>
  <c r="I108" i="45"/>
  <c r="L106" i="45"/>
  <c r="L104" i="45"/>
  <c r="I103" i="45"/>
  <c r="L101" i="45"/>
  <c r="L100" i="45"/>
  <c r="L99" i="45"/>
  <c r="L98" i="45"/>
  <c r="I98" i="45"/>
  <c r="J94" i="45"/>
  <c r="L105" i="45" s="1"/>
  <c r="L81" i="45"/>
  <c r="J67" i="45"/>
  <c r="J66" i="45"/>
  <c r="E62" i="45"/>
  <c r="E61" i="45"/>
  <c r="E60" i="45"/>
  <c r="E59" i="45"/>
  <c r="L54" i="45"/>
  <c r="J54" i="45"/>
  <c r="L53" i="45"/>
  <c r="J53" i="45"/>
  <c r="E52" i="45"/>
  <c r="E47" i="45"/>
  <c r="L45" i="45"/>
  <c r="J45" i="45"/>
  <c r="C46" i="45" s="1"/>
  <c r="J46" i="45" s="1"/>
  <c r="E39" i="45"/>
  <c r="E38" i="45"/>
  <c r="E34" i="45"/>
  <c r="E33" i="45"/>
  <c r="E32" i="45"/>
  <c r="E31" i="45"/>
  <c r="E30" i="45"/>
  <c r="E24" i="45"/>
  <c r="E23" i="45"/>
  <c r="E22" i="45"/>
  <c r="E21" i="45"/>
  <c r="E20" i="45"/>
  <c r="E19" i="45"/>
  <c r="E18" i="45"/>
  <c r="E14" i="45"/>
  <c r="E13" i="45"/>
  <c r="L12" i="45"/>
  <c r="J12" i="45"/>
  <c r="B76" i="45" l="1"/>
  <c r="I100" i="45"/>
  <c r="J98" i="45" s="1"/>
  <c r="B68" i="45"/>
  <c r="I105" i="45"/>
  <c r="I106" i="45"/>
  <c r="J103" i="45" s="1"/>
  <c r="L134" i="45"/>
  <c r="I109" i="45"/>
  <c r="I104" i="45"/>
  <c r="I99" i="45"/>
  <c r="L103" i="45"/>
  <c r="J93" i="45"/>
  <c r="L93" i="45"/>
  <c r="I101" i="45"/>
  <c r="B75" i="45" l="1"/>
  <c r="I141" i="45"/>
  <c r="C13" i="33" l="1"/>
  <c r="G25" i="33" l="1"/>
  <c r="C40" i="33" l="1"/>
  <c r="G45" i="33" l="1"/>
  <c r="C32" i="33" l="1"/>
  <c r="C29" i="33" s="1"/>
  <c r="G26" i="33"/>
  <c r="E51" i="28" l="1"/>
  <c r="E63" i="28" s="1"/>
  <c r="F50" i="28"/>
  <c r="F62" i="28" s="1"/>
  <c r="E50" i="28"/>
  <c r="E62" i="28" s="1"/>
  <c r="D50" i="28"/>
  <c r="D62" i="28" s="1"/>
  <c r="C50" i="28"/>
  <c r="C62" i="28" s="1"/>
  <c r="C10" i="28"/>
  <c r="C9" i="28"/>
  <c r="C38" i="28" s="1"/>
  <c r="C48" i="28" s="1"/>
  <c r="C60" i="28" s="1"/>
  <c r="C8" i="28"/>
  <c r="F37" i="28" s="1"/>
  <c r="F47" i="28" s="1"/>
  <c r="F59" i="28" s="1"/>
  <c r="C7" i="28"/>
  <c r="C49" i="29"/>
  <c r="C47" i="29"/>
  <c r="F9" i="29"/>
  <c r="F12" i="29" s="1"/>
  <c r="C23" i="29" s="1"/>
  <c r="D36" i="28"/>
  <c r="C36" i="28"/>
  <c r="F35" i="28"/>
  <c r="E35" i="28"/>
  <c r="D35" i="28"/>
  <c r="C35" i="28"/>
  <c r="F29" i="28"/>
  <c r="F31" i="28" s="1"/>
  <c r="E29" i="28"/>
  <c r="D29" i="28"/>
  <c r="D33" i="28" s="1"/>
  <c r="F23" i="28"/>
  <c r="E23" i="28"/>
  <c r="D23" i="28"/>
  <c r="D13" i="28"/>
  <c r="D12" i="28"/>
  <c r="D11" i="28"/>
  <c r="D39" i="28"/>
  <c r="D49" i="28" s="1"/>
  <c r="D61" i="28" s="1"/>
  <c r="F38" i="28"/>
  <c r="F48" i="28" s="1"/>
  <c r="F60" i="28" s="1"/>
  <c r="D51" i="28" l="1"/>
  <c r="D63" i="28" s="1"/>
  <c r="G44" i="46"/>
  <c r="F42" i="28"/>
  <c r="F65" i="28" s="1"/>
  <c r="C43" i="28"/>
  <c r="E31" i="28"/>
  <c r="E45" i="28" s="1"/>
  <c r="E57" i="28" s="1"/>
  <c r="E33" i="28"/>
  <c r="G22" i="33" s="1"/>
  <c r="G23" i="33" s="1"/>
  <c r="C31" i="28"/>
  <c r="C45" i="28" s="1"/>
  <c r="C57" i="28" s="1"/>
  <c r="B77" i="47" s="1"/>
  <c r="D31" i="28"/>
  <c r="D45" i="28" s="1"/>
  <c r="D57" i="28" s="1"/>
  <c r="D42" i="28"/>
  <c r="E42" i="28"/>
  <c r="E65" i="28" s="1"/>
  <c r="G43" i="33"/>
  <c r="C22" i="33"/>
  <c r="F51" i="28"/>
  <c r="F63" i="28" s="1"/>
  <c r="J33" i="28"/>
  <c r="E41" i="28"/>
  <c r="E64" i="28" s="1"/>
  <c r="C51" i="28"/>
  <c r="C63" i="28" s="1"/>
  <c r="C42" i="28"/>
  <c r="G44" i="33"/>
  <c r="F45" i="28"/>
  <c r="F57" i="28" s="1"/>
  <c r="F46" i="28"/>
  <c r="F58" i="28" s="1"/>
  <c r="F53" i="28"/>
  <c r="D38" i="28"/>
  <c r="D48" i="28" s="1"/>
  <c r="D60" i="28" s="1"/>
  <c r="F41" i="28"/>
  <c r="F64" i="28" s="1"/>
  <c r="D43" i="28"/>
  <c r="C37" i="28"/>
  <c r="C47" i="28" s="1"/>
  <c r="C59" i="28" s="1"/>
  <c r="E39" i="28"/>
  <c r="E49" i="28" s="1"/>
  <c r="E61" i="28" s="1"/>
  <c r="E38" i="28"/>
  <c r="E48" i="28" s="1"/>
  <c r="E60" i="28" s="1"/>
  <c r="C41" i="28"/>
  <c r="C64" i="28" s="1"/>
  <c r="E43" i="28"/>
  <c r="E66" i="28" s="1"/>
  <c r="C46" i="28"/>
  <c r="C58" i="28" s="1"/>
  <c r="E52" i="28"/>
  <c r="D37" i="28"/>
  <c r="D47" i="28" s="1"/>
  <c r="D59" i="28" s="1"/>
  <c r="F39" i="28"/>
  <c r="F49" i="28" s="1"/>
  <c r="F61" i="28" s="1"/>
  <c r="F33" i="28"/>
  <c r="D41" i="28"/>
  <c r="F43" i="28"/>
  <c r="F66" i="28" s="1"/>
  <c r="D46" i="28"/>
  <c r="D58" i="28" s="1"/>
  <c r="E37" i="28"/>
  <c r="E47" i="28" s="1"/>
  <c r="E59" i="28" s="1"/>
  <c r="C39" i="28"/>
  <c r="C49" i="28" s="1"/>
  <c r="C61" i="28" s="1"/>
  <c r="D52" i="28" l="1"/>
  <c r="D64" i="28"/>
  <c r="E46" i="28"/>
  <c r="E58" i="28" s="1"/>
  <c r="C54" i="28"/>
  <c r="C66" i="28"/>
  <c r="D54" i="28"/>
  <c r="D66" i="28"/>
  <c r="C53" i="28"/>
  <c r="C65" i="28"/>
  <c r="D53" i="28"/>
  <c r="D65" i="28"/>
  <c r="C52" i="28"/>
  <c r="B77" i="45"/>
  <c r="E53" i="28"/>
  <c r="C11" i="33"/>
  <c r="C15" i="33" s="1"/>
  <c r="C16" i="33" s="1"/>
  <c r="C26" i="33"/>
  <c r="D55" i="28"/>
  <c r="E67" i="28"/>
  <c r="E54" i="28"/>
  <c r="F54" i="28"/>
  <c r="C55" i="28"/>
  <c r="F52" i="28"/>
  <c r="B141" i="45" l="1"/>
  <c r="J141" i="45" s="1"/>
  <c r="I138" i="45" s="1"/>
  <c r="J138" i="45" s="1"/>
  <c r="B143" i="45" s="1"/>
  <c r="B141" i="49"/>
  <c r="J141" i="49" s="1"/>
  <c r="I138" i="49" s="1"/>
  <c r="J138" i="49" s="1"/>
  <c r="C14" i="46"/>
  <c r="C15" i="46"/>
  <c r="C16" i="46" s="1"/>
  <c r="B141" i="48" s="1"/>
  <c r="J141" i="48" s="1"/>
  <c r="I138" i="48" s="1"/>
  <c r="J138" i="48" s="1"/>
  <c r="G41" i="46"/>
  <c r="G46" i="46"/>
  <c r="G42" i="46" s="1"/>
  <c r="C14" i="33"/>
  <c r="G46" i="33"/>
  <c r="G42" i="33" s="1"/>
  <c r="C17" i="33"/>
  <c r="C18" i="33" s="1"/>
  <c r="C67" i="28"/>
  <c r="G41" i="33"/>
  <c r="D67" i="28"/>
  <c r="F55" i="28"/>
  <c r="F67" i="28"/>
  <c r="E55" i="28"/>
  <c r="C49" i="48" l="1"/>
  <c r="J49" i="48" s="1"/>
  <c r="B143" i="48"/>
  <c r="J135" i="48"/>
  <c r="C40" i="48" s="1"/>
  <c r="J40" i="48" s="1"/>
  <c r="J41" i="48" s="1"/>
  <c r="B41" i="48" s="1"/>
  <c r="J135" i="45"/>
  <c r="C40" i="45" s="1"/>
  <c r="J40" i="45" s="1"/>
  <c r="G40" i="33"/>
  <c r="B147" i="49" s="1"/>
  <c r="C49" i="45"/>
  <c r="J49" i="45" s="1"/>
  <c r="B143" i="49"/>
  <c r="C49" i="49"/>
  <c r="J49" i="49" s="1"/>
  <c r="J135" i="49"/>
  <c r="J40" i="49" s="1"/>
  <c r="J41" i="49" s="1"/>
  <c r="B41" i="49" s="1"/>
  <c r="G40" i="46"/>
  <c r="B147" i="48" s="1"/>
  <c r="C17" i="46"/>
  <c r="C18" i="46" s="1"/>
  <c r="B141" i="47"/>
  <c r="J141" i="47" s="1"/>
  <c r="I138" i="47" s="1"/>
  <c r="J138" i="47" s="1"/>
  <c r="D18" i="21"/>
  <c r="C41" i="46" s="1"/>
  <c r="B147" i="45" l="1"/>
  <c r="L147" i="45" s="1"/>
  <c r="C61" i="49"/>
  <c r="J61" i="49" s="1"/>
  <c r="B69" i="49"/>
  <c r="J69" i="49" s="1"/>
  <c r="C60" i="49"/>
  <c r="J60" i="49" s="1"/>
  <c r="C47" i="49"/>
  <c r="J47" i="49" s="1"/>
  <c r="C62" i="49"/>
  <c r="J62" i="49" s="1"/>
  <c r="L147" i="49"/>
  <c r="J147" i="49"/>
  <c r="I150" i="49"/>
  <c r="J150" i="49" s="1"/>
  <c r="C62" i="48"/>
  <c r="J62" i="48" s="1"/>
  <c r="C47" i="48"/>
  <c r="J47" i="48" s="1"/>
  <c r="B69" i="48"/>
  <c r="J69" i="48" s="1"/>
  <c r="C61" i="48"/>
  <c r="J61" i="48" s="1"/>
  <c r="C60" i="48"/>
  <c r="J60" i="48" s="1"/>
  <c r="L147" i="48"/>
  <c r="J147" i="48"/>
  <c r="I150" i="48"/>
  <c r="J150" i="48" s="1"/>
  <c r="J40" i="33"/>
  <c r="G34" i="33"/>
  <c r="G33" i="33" s="1"/>
  <c r="B127" i="49" s="1"/>
  <c r="J135" i="47"/>
  <c r="C40" i="47" s="1"/>
  <c r="J40" i="47" s="1"/>
  <c r="B143" i="47"/>
  <c r="C49" i="47"/>
  <c r="J49" i="47" s="1"/>
  <c r="J25" i="46"/>
  <c r="G34" i="46"/>
  <c r="G33" i="46" s="1"/>
  <c r="B127" i="48" s="1"/>
  <c r="B147" i="47"/>
  <c r="C41" i="33"/>
  <c r="B88" i="18"/>
  <c r="D88" i="18"/>
  <c r="B89" i="18"/>
  <c r="D89" i="18"/>
  <c r="B90" i="18"/>
  <c r="D90" i="18"/>
  <c r="B91" i="18"/>
  <c r="D91" i="18"/>
  <c r="B92" i="18"/>
  <c r="D92" i="18"/>
  <c r="B93" i="18"/>
  <c r="D93" i="18"/>
  <c r="B94" i="18"/>
  <c r="D94" i="18"/>
  <c r="B95" i="18"/>
  <c r="D95" i="18"/>
  <c r="B96" i="18"/>
  <c r="D96" i="18"/>
  <c r="B97" i="18"/>
  <c r="D97" i="18"/>
  <c r="B98" i="18"/>
  <c r="D98" i="18"/>
  <c r="C62" i="18" s="1"/>
  <c r="C5" i="18"/>
  <c r="C5" i="19"/>
  <c r="C3" i="18"/>
  <c r="D3" i="18" s="1"/>
  <c r="C51" i="48" l="1"/>
  <c r="J51" i="48" s="1"/>
  <c r="C52" i="48" s="1"/>
  <c r="J52" i="48" s="1"/>
  <c r="B150" i="48"/>
  <c r="J127" i="48"/>
  <c r="I123" i="48" s="1"/>
  <c r="J123" i="48" s="1"/>
  <c r="L127" i="48"/>
  <c r="B127" i="45"/>
  <c r="C48" i="49"/>
  <c r="J48" i="49" s="1"/>
  <c r="C59" i="49" s="1"/>
  <c r="J59" i="49" s="1"/>
  <c r="J63" i="49" s="1"/>
  <c r="B63" i="49" s="1"/>
  <c r="G36" i="33"/>
  <c r="G37" i="33" s="1"/>
  <c r="C71" i="33" s="1"/>
  <c r="J147" i="45"/>
  <c r="I150" i="45" s="1"/>
  <c r="J150" i="45" s="1"/>
  <c r="J127" i="49"/>
  <c r="I123" i="49" s="1"/>
  <c r="J123" i="49" s="1"/>
  <c r="L127" i="49"/>
  <c r="C48" i="48"/>
  <c r="J48" i="48" s="1"/>
  <c r="C59" i="48"/>
  <c r="J59" i="48" s="1"/>
  <c r="J63" i="48" s="1"/>
  <c r="B63" i="48" s="1"/>
  <c r="C51" i="49"/>
  <c r="J51" i="49" s="1"/>
  <c r="C52" i="49" s="1"/>
  <c r="J52" i="49" s="1"/>
  <c r="B150" i="49"/>
  <c r="L147" i="47"/>
  <c r="J147" i="47"/>
  <c r="I150" i="47" s="1"/>
  <c r="J150" i="47" s="1"/>
  <c r="G36" i="46"/>
  <c r="G37" i="46" s="1"/>
  <c r="C71" i="46" s="1"/>
  <c r="B11" i="47" s="1"/>
  <c r="B127" i="47"/>
  <c r="J127" i="45"/>
  <c r="L127" i="45"/>
  <c r="B11" i="45"/>
  <c r="G14" i="18"/>
  <c r="G13" i="18"/>
  <c r="C20" i="18"/>
  <c r="J123" i="45" l="1"/>
  <c r="C50" i="45" s="1"/>
  <c r="J50" i="45" s="1"/>
  <c r="I123" i="45"/>
  <c r="C50" i="48"/>
  <c r="J50" i="48" s="1"/>
  <c r="J55" i="48" s="1"/>
  <c r="B128" i="48"/>
  <c r="B128" i="49"/>
  <c r="C50" i="49"/>
  <c r="J50" i="49" s="1"/>
  <c r="J55" i="49" s="1"/>
  <c r="B150" i="45"/>
  <c r="C51" i="45"/>
  <c r="J51" i="45" s="1"/>
  <c r="C52" i="45" s="1"/>
  <c r="J52" i="45" s="1"/>
  <c r="C13" i="47"/>
  <c r="J13" i="47" s="1"/>
  <c r="L11" i="47"/>
  <c r="J11" i="47"/>
  <c r="C14" i="47"/>
  <c r="J14" i="47" s="1"/>
  <c r="B24" i="47"/>
  <c r="B150" i="47"/>
  <c r="C51" i="47"/>
  <c r="J51" i="47" s="1"/>
  <c r="C52" i="47" s="1"/>
  <c r="J52" i="47" s="1"/>
  <c r="J127" i="47"/>
  <c r="I123" i="47" s="1"/>
  <c r="J123" i="47" s="1"/>
  <c r="L127" i="47"/>
  <c r="C13" i="45"/>
  <c r="J13" i="45" s="1"/>
  <c r="L11" i="45"/>
  <c r="C14" i="45"/>
  <c r="J14" i="45" s="1"/>
  <c r="J11" i="45"/>
  <c r="B24" i="45"/>
  <c r="B128" i="45"/>
  <c r="C56" i="18"/>
  <c r="G22" i="18"/>
  <c r="C18" i="18"/>
  <c r="G21" i="18"/>
  <c r="G9" i="18"/>
  <c r="C21" i="18"/>
  <c r="C15" i="18" s="1"/>
  <c r="D15" i="18" s="1"/>
  <c r="B55" i="48" l="1"/>
  <c r="B71" i="48" s="1"/>
  <c r="B79" i="48" s="1"/>
  <c r="B80" i="48" s="1"/>
  <c r="A84" i="48" s="1"/>
  <c r="J71" i="48"/>
  <c r="J71" i="49"/>
  <c r="B55" i="49"/>
  <c r="B71" i="49" s="1"/>
  <c r="B79" i="49" s="1"/>
  <c r="B80" i="49" s="1"/>
  <c r="A84" i="49" s="1"/>
  <c r="B128" i="47"/>
  <c r="C50" i="47"/>
  <c r="J50" i="47" s="1"/>
  <c r="C15" i="47"/>
  <c r="J15" i="47" s="1"/>
  <c r="J16" i="47" s="1"/>
  <c r="J24" i="47"/>
  <c r="L24" i="47"/>
  <c r="C15" i="45"/>
  <c r="J15" i="45" s="1"/>
  <c r="J16" i="45" s="1"/>
  <c r="B16" i="45" s="1"/>
  <c r="J24" i="45"/>
  <c r="L24" i="45"/>
  <c r="N24" i="18"/>
  <c r="K24" i="18" s="1"/>
  <c r="B16" i="47" l="1"/>
  <c r="C22" i="45"/>
  <c r="J22" i="45" s="1"/>
  <c r="C31" i="45"/>
  <c r="J31" i="45" s="1"/>
  <c r="C19" i="45"/>
  <c r="J19" i="45" s="1"/>
  <c r="C23" i="45"/>
  <c r="J23" i="45" s="1"/>
  <c r="C30" i="45"/>
  <c r="J30" i="45" s="1"/>
  <c r="C21" i="45"/>
  <c r="J21" i="45" s="1"/>
  <c r="C32" i="45"/>
  <c r="J32" i="45" s="1"/>
  <c r="C33" i="45"/>
  <c r="J33" i="45" s="1"/>
  <c r="C34" i="45"/>
  <c r="J34" i="45" s="1"/>
  <c r="C20" i="45"/>
  <c r="J20" i="45" s="1"/>
  <c r="C18" i="45"/>
  <c r="J18" i="45" s="1"/>
  <c r="G18" i="18"/>
  <c r="G19" i="18" s="1"/>
  <c r="C13" i="18"/>
  <c r="K25" i="18"/>
  <c r="C18" i="47" l="1"/>
  <c r="J18" i="47" s="1"/>
  <c r="C30" i="47"/>
  <c r="J30" i="47" s="1"/>
  <c r="C22" i="47"/>
  <c r="J22" i="47" s="1"/>
  <c r="C21" i="47"/>
  <c r="J21" i="47" s="1"/>
  <c r="C32" i="47"/>
  <c r="J32" i="47" s="1"/>
  <c r="C23" i="47"/>
  <c r="J23" i="47" s="1"/>
  <c r="C34" i="47"/>
  <c r="J34" i="47" s="1"/>
  <c r="C31" i="47"/>
  <c r="J31" i="47" s="1"/>
  <c r="C33" i="47"/>
  <c r="J33" i="47" s="1"/>
  <c r="C20" i="47"/>
  <c r="J20" i="47" s="1"/>
  <c r="C19" i="47"/>
  <c r="J19" i="47" s="1"/>
  <c r="J25" i="45"/>
  <c r="J35" i="45"/>
  <c r="B35" i="45" s="1"/>
  <c r="D13" i="18"/>
  <c r="C67" i="18"/>
  <c r="D67" i="18" s="1"/>
  <c r="K23" i="18"/>
  <c r="J25" i="47" l="1"/>
  <c r="B25" i="47" s="1"/>
  <c r="B26" i="47" s="1"/>
  <c r="J35" i="47"/>
  <c r="B35" i="47" s="1"/>
  <c r="B25" i="45"/>
  <c r="B26" i="45" s="1"/>
  <c r="J26" i="45"/>
  <c r="F60" i="11"/>
  <c r="C59" i="11" s="1"/>
  <c r="C60" i="11" s="1"/>
  <c r="C61" i="11" s="1"/>
  <c r="C42" i="11" s="1"/>
  <c r="F61" i="19"/>
  <c r="C60" i="19" s="1"/>
  <c r="C61" i="19" s="1"/>
  <c r="C3" i="11"/>
  <c r="J26" i="47" l="1"/>
  <c r="C38" i="47"/>
  <c r="J38" i="47" s="1"/>
  <c r="C39" i="47" s="1"/>
  <c r="J39" i="47" s="1"/>
  <c r="C38" i="45"/>
  <c r="J38" i="45" s="1"/>
  <c r="C39" i="45" s="1"/>
  <c r="J39" i="45" s="1"/>
  <c r="J41" i="45" s="1"/>
  <c r="B41" i="45" s="1"/>
  <c r="C62" i="19"/>
  <c r="C43" i="19" s="1"/>
  <c r="C3" i="19"/>
  <c r="C52" i="19"/>
  <c r="C14" i="19"/>
  <c r="C51" i="19"/>
  <c r="J41" i="47" l="1"/>
  <c r="B41" i="47" s="1"/>
  <c r="C47" i="47" s="1"/>
  <c r="J47" i="47" s="1"/>
  <c r="C62" i="45"/>
  <c r="J62" i="45" s="1"/>
  <c r="C61" i="45"/>
  <c r="J61" i="45" s="1"/>
  <c r="C60" i="45"/>
  <c r="J60" i="45" s="1"/>
  <c r="C47" i="45"/>
  <c r="J47" i="45" s="1"/>
  <c r="B69" i="45"/>
  <c r="J69" i="45" s="1"/>
  <c r="C40" i="19"/>
  <c r="C7" i="19"/>
  <c r="C18" i="19"/>
  <c r="G14" i="19"/>
  <c r="D3" i="19"/>
  <c r="C60" i="47" l="1"/>
  <c r="J60" i="47" s="1"/>
  <c r="C61" i="47"/>
  <c r="J61" i="47" s="1"/>
  <c r="B69" i="47"/>
  <c r="J69" i="47" s="1"/>
  <c r="C62" i="47"/>
  <c r="J62" i="47" s="1"/>
  <c r="C48" i="47"/>
  <c r="J48" i="47" s="1"/>
  <c r="J55" i="47" s="1"/>
  <c r="C48" i="45"/>
  <c r="J48" i="45" s="1"/>
  <c r="J55" i="45" s="1"/>
  <c r="C110" i="19"/>
  <c r="C112" i="19" s="1"/>
  <c r="C42" i="19" s="1"/>
  <c r="D79" i="19"/>
  <c r="C46" i="19" s="1"/>
  <c r="B79" i="19"/>
  <c r="D78" i="19"/>
  <c r="B78" i="19"/>
  <c r="D77" i="19"/>
  <c r="B77" i="19"/>
  <c r="D76" i="19"/>
  <c r="B76" i="19"/>
  <c r="D75" i="19"/>
  <c r="B75" i="19"/>
  <c r="D74" i="19"/>
  <c r="B74" i="19"/>
  <c r="D73" i="19"/>
  <c r="B73" i="19"/>
  <c r="D72" i="19"/>
  <c r="B72" i="19"/>
  <c r="D71" i="19"/>
  <c r="B71" i="19"/>
  <c r="D70" i="19"/>
  <c r="B70" i="19"/>
  <c r="C59" i="47" l="1"/>
  <c r="J59" i="47" s="1"/>
  <c r="J63" i="47" s="1"/>
  <c r="B63" i="47" s="1"/>
  <c r="B55" i="47"/>
  <c r="C59" i="45"/>
  <c r="J59" i="45" s="1"/>
  <c r="J63" i="45" s="1"/>
  <c r="B63" i="45" s="1"/>
  <c r="B55" i="45"/>
  <c r="C6" i="19"/>
  <c r="C8" i="19"/>
  <c r="C9" i="19" s="1"/>
  <c r="C22" i="19"/>
  <c r="C23" i="19"/>
  <c r="C21" i="19"/>
  <c r="C129" i="18"/>
  <c r="D87" i="18"/>
  <c r="B87" i="18"/>
  <c r="D86" i="18"/>
  <c r="B86" i="18"/>
  <c r="D85" i="18"/>
  <c r="B85" i="18"/>
  <c r="D84" i="18"/>
  <c r="B84" i="18"/>
  <c r="D83" i="18"/>
  <c r="B83" i="18"/>
  <c r="D82" i="18"/>
  <c r="B82" i="18"/>
  <c r="D81" i="18"/>
  <c r="B81" i="18"/>
  <c r="D80" i="18"/>
  <c r="B80" i="18"/>
  <c r="D79" i="18"/>
  <c r="B79" i="18"/>
  <c r="C4" i="18"/>
  <c r="C68" i="18" s="1"/>
  <c r="F68" i="18" s="1"/>
  <c r="B71" i="47" l="1"/>
  <c r="B79" i="47" s="1"/>
  <c r="B80" i="47" s="1"/>
  <c r="A84" i="47" s="1"/>
  <c r="J71" i="47"/>
  <c r="J71" i="45"/>
  <c r="B71" i="45"/>
  <c r="B79" i="45" s="1"/>
  <c r="K21" i="18"/>
  <c r="C7" i="18"/>
  <c r="C8" i="18"/>
  <c r="C41" i="19"/>
  <c r="C10" i="19"/>
  <c r="C31" i="19" s="1"/>
  <c r="C24" i="19"/>
  <c r="C14" i="11"/>
  <c r="C4" i="11" s="1"/>
  <c r="C51" i="11" s="1"/>
  <c r="C109" i="11"/>
  <c r="B80" i="45" l="1"/>
  <c r="A84" i="45" s="1"/>
  <c r="C9" i="18"/>
  <c r="C10" i="18" s="1"/>
  <c r="C54" i="18" s="1"/>
  <c r="N22" i="18"/>
  <c r="K22" i="18" s="1"/>
  <c r="K20" i="18" s="1"/>
  <c r="C5" i="11"/>
  <c r="C6" i="11" s="1"/>
  <c r="C18" i="11"/>
  <c r="C21" i="11" s="1"/>
  <c r="C50" i="11"/>
  <c r="C26" i="19"/>
  <c r="C27" i="19" s="1"/>
  <c r="C30" i="19" s="1"/>
  <c r="C38" i="19"/>
  <c r="D3" i="11"/>
  <c r="B69" i="11"/>
  <c r="B70" i="11"/>
  <c r="B71" i="11"/>
  <c r="B72" i="11"/>
  <c r="B73" i="11"/>
  <c r="B74" i="11"/>
  <c r="B75" i="11"/>
  <c r="B76" i="11"/>
  <c r="B77" i="11"/>
  <c r="B78" i="11"/>
  <c r="D78" i="11"/>
  <c r="C45" i="11" s="1"/>
  <c r="D77" i="11"/>
  <c r="D76" i="11"/>
  <c r="D75" i="11"/>
  <c r="D74" i="11"/>
  <c r="D73" i="11"/>
  <c r="D72" i="11"/>
  <c r="D71" i="11"/>
  <c r="D70" i="11"/>
  <c r="D69" i="11"/>
  <c r="K15" i="18" l="1"/>
  <c r="C57" i="18" s="1"/>
  <c r="C58" i="18"/>
  <c r="C22" i="11"/>
  <c r="C7" i="11"/>
  <c r="C8" i="11" s="1"/>
  <c r="C40" i="11"/>
  <c r="C23" i="11"/>
  <c r="C33" i="19"/>
  <c r="C24" i="11" l="1"/>
  <c r="C9" i="11"/>
  <c r="C10" i="11" s="1"/>
  <c r="C31" i="11" s="1"/>
  <c r="C41" i="11"/>
  <c r="K16" i="18"/>
  <c r="K17" i="18" s="1"/>
  <c r="C34" i="18" s="1"/>
  <c r="C11" i="18"/>
  <c r="C47" i="18" s="1"/>
  <c r="C38" i="11"/>
  <c r="C37" i="19"/>
  <c r="C44" i="19" s="1"/>
  <c r="C47" i="19"/>
  <c r="C69" i="19"/>
  <c r="C70" i="19" s="1"/>
  <c r="C71" i="19" s="1"/>
  <c r="C72" i="19" s="1"/>
  <c r="C73" i="19" s="1"/>
  <c r="C74" i="19" s="1"/>
  <c r="C75" i="19" s="1"/>
  <c r="C76" i="19" s="1"/>
  <c r="C77" i="19" s="1"/>
  <c r="C78" i="19" s="1"/>
  <c r="C79" i="19" s="1"/>
  <c r="C26" i="11"/>
  <c r="C27" i="11" s="1"/>
  <c r="C30" i="11" s="1"/>
  <c r="C39" i="18" l="1"/>
  <c r="C37" i="18"/>
  <c r="C38" i="18"/>
  <c r="C49" i="19"/>
  <c r="C81" i="19"/>
  <c r="C83" i="19" s="1"/>
  <c r="C33" i="11"/>
  <c r="C40" i="18" l="1"/>
  <c r="C54" i="19"/>
  <c r="C68" i="11"/>
  <c r="C37" i="11"/>
  <c r="C43" i="11" s="1"/>
  <c r="C46" i="11"/>
  <c r="C42" i="18" l="1"/>
  <c r="C43" i="18" s="1"/>
  <c r="C48" i="11"/>
  <c r="C53" i="11" s="1"/>
  <c r="C69" i="11"/>
  <c r="C70" i="11" s="1"/>
  <c r="C71" i="11" s="1"/>
  <c r="C72" i="11" s="1"/>
  <c r="C73" i="11" s="1"/>
  <c r="C74" i="11" s="1"/>
  <c r="C75" i="11" s="1"/>
  <c r="C76" i="11" s="1"/>
  <c r="C77" i="11" s="1"/>
  <c r="C78" i="11" s="1"/>
  <c r="C46" i="18" l="1"/>
  <c r="C49" i="18" s="1"/>
  <c r="C63" i="18" s="1"/>
  <c r="C80" i="11"/>
  <c r="C82" i="11" s="1"/>
  <c r="C53" i="18" l="1"/>
  <c r="C60" i="18" s="1"/>
  <c r="C65" i="18" s="1"/>
  <c r="C70" i="18" s="1"/>
  <c r="C78" i="18"/>
  <c r="C79" i="18" l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101" i="18" l="1"/>
  <c r="C103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 Gertler</author>
  </authors>
  <commentList>
    <comment ref="I13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From EIA data, Table 5.6.A Nov 2014 - Retail Price of Electricity to Industrial Customers in Alaska: http://www.eia.gov/electricity/monthly/epm_table_grapher.cfm?t=epmt_5_06_a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 Gertler</author>
  </authors>
  <commentList>
    <comment ref="I130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From EIA data, Table 5.6.A Nov 2014 - Retail Price of Electricity to Industrial Customers in Alaska: http://www.eia.gov/electricity/monthly/epm_table_grapher.cfm?t=epmt_5_06_a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 Gertler</author>
  </authors>
  <commentList>
    <comment ref="I130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From EIA data, Table 5.6.A Nov 2014 - Retail Price of Electricity to Industrial Customers in Alaska: http://www.eia.gov/electricity/monthly/epm_table_grapher.cfm?t=epmt_5_06_a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 Gertler</author>
  </authors>
  <commentList>
    <comment ref="I130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From EIA data, Table 5.6.A Nov 2014 - Retail Price of Electricity to Industrial Customers in Alaska: http://www.eia.gov/electricity/monthly/epm_table_grapher.cfm?t=epmt_5_06_a</t>
        </r>
      </text>
    </comment>
  </commentList>
</comments>
</file>

<file path=xl/sharedStrings.xml><?xml version="1.0" encoding="utf-8"?>
<sst xmlns="http://schemas.openxmlformats.org/spreadsheetml/2006/main" count="2293" uniqueCount="666">
  <si>
    <t>Electricity</t>
  </si>
  <si>
    <t>A</t>
  </si>
  <si>
    <t>0.05A</t>
  </si>
  <si>
    <t>Operating Labor</t>
  </si>
  <si>
    <t>Operator</t>
  </si>
  <si>
    <t>Supervisor</t>
  </si>
  <si>
    <t>0.5 hr/shift</t>
  </si>
  <si>
    <t>15% of operator</t>
  </si>
  <si>
    <t>Catalyst Replacement</t>
  </si>
  <si>
    <t>Utilities</t>
  </si>
  <si>
    <t>Natural Gas</t>
  </si>
  <si>
    <t>$/kWh</t>
  </si>
  <si>
    <t>lb/hr</t>
  </si>
  <si>
    <t>Cost</t>
  </si>
  <si>
    <t>Notes:</t>
  </si>
  <si>
    <t>Year 0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</si>
  <si>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</si>
  <si>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</si>
  <si>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</si>
  <si>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</si>
  <si>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</si>
  <si>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</si>
  <si>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</si>
  <si>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</si>
  <si>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</si>
  <si>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</si>
  <si>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Discount Factor (@ 7% Interest Rate)</t>
  </si>
  <si>
    <t>Net Present Value (NPV)</t>
  </si>
  <si>
    <t>Capital Recovery Cost (CRC)</t>
  </si>
  <si>
    <t>Discounted Net Cash Flow</t>
  </si>
  <si>
    <t>Capital Recovery Factor (CRF) @ 7%</t>
  </si>
  <si>
    <t>Interest Rate</t>
  </si>
  <si>
    <t>http://www.eia.doe.gov/cneaf/electricity/epm/table5_6_a.html</t>
  </si>
  <si>
    <t>http://tonto.eia.doe.gov/dnav/ng/ng_pri_sum_dcu_SCA_m.htm</t>
  </si>
  <si>
    <t>March</t>
  </si>
  <si>
    <t>April</t>
  </si>
  <si>
    <t>May</t>
  </si>
  <si>
    <t>June</t>
  </si>
  <si>
    <t>July</t>
  </si>
  <si>
    <t>August</t>
  </si>
  <si>
    <t>Average ($/kscf)</t>
  </si>
  <si>
    <t>SCAQMD Threshold</t>
  </si>
  <si>
    <t>EPA Equation</t>
  </si>
  <si>
    <t>Total Capital Investment</t>
  </si>
  <si>
    <t>September</t>
  </si>
  <si>
    <t>October</t>
  </si>
  <si>
    <t>November</t>
  </si>
  <si>
    <t>January</t>
  </si>
  <si>
    <t>February</t>
  </si>
  <si>
    <t>4. Natural gas price based on January - September 2011 price average for Commercial Users in California</t>
  </si>
  <si>
    <t>December</t>
  </si>
  <si>
    <t>3. Electrical operating price obtained at the DOE as an average cost as of May 2011 for the industrial sector</t>
  </si>
  <si>
    <t>Boiler Size</t>
  </si>
  <si>
    <t>MMBtu/hr</t>
  </si>
  <si>
    <t>NOx Removal Efficiency</t>
  </si>
  <si>
    <t>General Facilities</t>
  </si>
  <si>
    <t>Engineering and Home Office Fees</t>
  </si>
  <si>
    <t>0.10A</t>
  </si>
  <si>
    <t>Process Contingency</t>
  </si>
  <si>
    <t>Normalized Stochiometric Ratio</t>
  </si>
  <si>
    <t>Utilitization</t>
  </si>
  <si>
    <t>Mass Flow Rate</t>
  </si>
  <si>
    <t>Flow Rate</t>
  </si>
  <si>
    <t>Volume Flow Rate</t>
  </si>
  <si>
    <t>lb/ft3</t>
  </si>
  <si>
    <t>gal/hr</t>
  </si>
  <si>
    <t>gallon</t>
  </si>
  <si>
    <t>Tank Volume (2 week supply)</t>
  </si>
  <si>
    <t>Urea</t>
  </si>
  <si>
    <t>Ammonia</t>
  </si>
  <si>
    <t>Density</t>
  </si>
  <si>
    <t>Molecular Weight</t>
  </si>
  <si>
    <t>g/mole</t>
  </si>
  <si>
    <t>Conversion Factor</t>
  </si>
  <si>
    <t>Total Direct Capital Costs</t>
  </si>
  <si>
    <t>Indirect Installation Costs</t>
  </si>
  <si>
    <t>Total Indirection Installation Costs</t>
  </si>
  <si>
    <t>Project Contingency</t>
  </si>
  <si>
    <t>C=0.15(A + B)</t>
  </si>
  <si>
    <t>B</t>
  </si>
  <si>
    <t>Total Plant Cost</t>
  </si>
  <si>
    <t>D = A + B + C</t>
  </si>
  <si>
    <t>Allowance for Funds During Construction</t>
  </si>
  <si>
    <t>E</t>
  </si>
  <si>
    <t>Royalty Allowance</t>
  </si>
  <si>
    <t>F</t>
  </si>
  <si>
    <t>Preproduction Cost</t>
  </si>
  <si>
    <t>G = 0.02*(D + E)</t>
  </si>
  <si>
    <t>Inventory Capital</t>
  </si>
  <si>
    <t>Reagent Cost</t>
  </si>
  <si>
    <t>$/gal</t>
  </si>
  <si>
    <t>H = V * Reagent $</t>
  </si>
  <si>
    <t>First Fill - Based on tank capacity</t>
  </si>
  <si>
    <t>Initial Catalyst and Chemicals</t>
  </si>
  <si>
    <t>I</t>
  </si>
  <si>
    <t>TCI = D + E + F + G + H + I</t>
  </si>
  <si>
    <t>Annual Costs</t>
  </si>
  <si>
    <t>Annual Maintenance</t>
  </si>
  <si>
    <t>0.015 TCI</t>
  </si>
  <si>
    <t>Reagent Consumption</t>
  </si>
  <si>
    <t>Water Consumption</t>
  </si>
  <si>
    <t>Concentration Stored</t>
  </si>
  <si>
    <t>Concentration Injected</t>
  </si>
  <si>
    <t>Water Cost</t>
  </si>
  <si>
    <t>Total Direct Annual Costs</t>
  </si>
  <si>
    <t>Kscf/hr</t>
  </si>
  <si>
    <t>Indirect Annual Costs</t>
  </si>
  <si>
    <t>IDAC = CRF * TCI</t>
  </si>
  <si>
    <t>Total Annual Costs</t>
  </si>
  <si>
    <t>TAC = DA + IDAC</t>
  </si>
  <si>
    <t>Discounted Net Cash Flow Method</t>
  </si>
  <si>
    <t>Estimated NOx Removal</t>
  </si>
  <si>
    <t>AP-42 Uncontrolled NOx</t>
  </si>
  <si>
    <t>lb/MMBtu</t>
  </si>
  <si>
    <t>Proposed Controlled NOx</t>
  </si>
  <si>
    <t>ppmv</t>
  </si>
  <si>
    <t>Description</t>
  </si>
  <si>
    <t>Estimate NOx Produced</t>
  </si>
  <si>
    <t>TPY</t>
  </si>
  <si>
    <t>Cost Effectiveness</t>
  </si>
  <si>
    <t>$/Ton</t>
  </si>
  <si>
    <t>5. Maximum cost effectiveness is based on the average Cost/Ton as assessed by SCAQMD in 2003 using the Marshall and Swift Equipment Cost Index.  This value has been updated to the present cost using the 2011 M &amp; S Index.</t>
  </si>
  <si>
    <t>Capital Recovery Factor</t>
  </si>
  <si>
    <t>Catalyst Volume</t>
  </si>
  <si>
    <t>ft3</t>
  </si>
  <si>
    <t>Initial Catalyst Cost</t>
  </si>
  <si>
    <t>$/ft3</t>
  </si>
  <si>
    <t>(NSR)</t>
  </si>
  <si>
    <t>Stochiometric Ratio</t>
  </si>
  <si>
    <t>SRt</t>
  </si>
  <si>
    <r>
      <rPr>
        <sz val="10"/>
        <rFont val="Arial"/>
        <family val="2"/>
      </rPr>
      <t>η</t>
    </r>
    <r>
      <rPr>
        <sz val="8"/>
        <rFont val="Arial"/>
        <family val="2"/>
      </rPr>
      <t>Nox</t>
    </r>
  </si>
  <si>
    <t>q*Cost*t</t>
  </si>
  <si>
    <t>Electricity Cost</t>
  </si>
  <si>
    <t>Natural Gas Cost</t>
  </si>
  <si>
    <t>$/kscf</t>
  </si>
  <si>
    <t>Estimates based on EPA Cost Control Manual and</t>
  </si>
  <si>
    <t>ACT for Cement Kilns</t>
  </si>
  <si>
    <t>Kiln NOx Factor</t>
  </si>
  <si>
    <t>This assumes a 50% removal efficiency based on expected SNCR performance - however this does not meet the 20 ppmv criteria set by the APCD.  The SNCR would have to perform at ~ 75% reduction efficiency.</t>
  </si>
  <si>
    <t>System Capacity Factor</t>
  </si>
  <si>
    <t>CF</t>
  </si>
  <si>
    <t>Based on average quarterly fuel use and hours of operation from 2001 - 2006.</t>
  </si>
  <si>
    <t>Moles NH3/mole reagent</t>
  </si>
  <si>
    <t>Estimated Operating Labor (Direct Annual Cost)</t>
  </si>
  <si>
    <t>Weekly Wage</t>
  </si>
  <si>
    <t>Est. Hourly Wage</t>
  </si>
  <si>
    <t>2010 Annual Averages for NAICS 2123, California - Per www.bls.gov/cew/</t>
  </si>
  <si>
    <t>1. NOx reduction efficiency based on uncontrolled Kiln emissions and a 20 ppmv outlet limit.</t>
  </si>
  <si>
    <t>2. EPA Cost Control Manual suggests that no additional personnel are required to operate and maintain the SNCR, however practical experiences suggests that additional staffing is necessary.  A secondary cost effectiveness value has been calculated which considers the additional cost associated with an operator and supervisor.</t>
  </si>
  <si>
    <t>Used to heat water in injected solution</t>
  </si>
  <si>
    <t>Average ($/Btu)</t>
  </si>
  <si>
    <t>Pressure Drop for SCR Ductwork</t>
  </si>
  <si>
    <t>Catalyst Layers</t>
  </si>
  <si>
    <t>Flue Gas Flow Rate</t>
  </si>
  <si>
    <t>acfm</t>
  </si>
  <si>
    <t>Catalyst Cross Sectional Area</t>
  </si>
  <si>
    <t>Actual Stochiometric Ratio</t>
  </si>
  <si>
    <t>(ASR)</t>
  </si>
  <si>
    <t>NOx efficiency Adjustment</t>
  </si>
  <si>
    <r>
      <t>η</t>
    </r>
    <r>
      <rPr>
        <sz val="8"/>
        <rFont val="Arial"/>
        <family val="2"/>
      </rPr>
      <t>adj</t>
    </r>
  </si>
  <si>
    <t>Ammonia Slip Adjustment</t>
  </si>
  <si>
    <t>Slipadj</t>
  </si>
  <si>
    <t>Inlet Nox Adjustment</t>
  </si>
  <si>
    <t>Noxadj</t>
  </si>
  <si>
    <t>Slip</t>
  </si>
  <si>
    <t>Sulfur in Natural Gas?</t>
  </si>
  <si>
    <t>Temperature Adjustment</t>
  </si>
  <si>
    <t>Tadj</t>
  </si>
  <si>
    <t>Sadj</t>
  </si>
  <si>
    <r>
      <t>A</t>
    </r>
    <r>
      <rPr>
        <vertAlign val="subscript"/>
        <sz val="10"/>
        <rFont val="Arial"/>
        <family val="2"/>
      </rPr>
      <t xml:space="preserve">catalyst </t>
    </r>
    <r>
      <rPr>
        <sz val="10"/>
        <rFont val="Arial"/>
        <family val="2"/>
      </rPr>
      <t>(ft2)</t>
    </r>
  </si>
  <si>
    <t>Catalyst Height</t>
  </si>
  <si>
    <t>hlayer (ft)</t>
  </si>
  <si>
    <t>SCR Height</t>
  </si>
  <si>
    <t>hscr (ft)</t>
  </si>
  <si>
    <t>Pduct</t>
  </si>
  <si>
    <t>Pcatalyst</t>
  </si>
  <si>
    <t>Flue Gas Flow Rate per Venturi Scrubber Design Specifications</t>
  </si>
  <si>
    <t>Temperature the scrubber exhaust is heated to prior to entering the SCR</t>
  </si>
  <si>
    <t>Capacity Factor</t>
  </si>
  <si>
    <t>Cfplant</t>
  </si>
  <si>
    <t>Fuel HHV</t>
  </si>
  <si>
    <t>Btu/scf</t>
  </si>
  <si>
    <t>Sulfur Content of Fuel by Weight Fraction</t>
  </si>
  <si>
    <t>nlayer</t>
  </si>
  <si>
    <t>Mass Flow Rate (mreagent)</t>
  </si>
  <si>
    <t>Flow Rate (msol)</t>
  </si>
  <si>
    <t>Volume Flow Rate (qsol)</t>
  </si>
  <si>
    <t>scf/gal</t>
  </si>
  <si>
    <t>Ft3/MMBtu</t>
  </si>
  <si>
    <t>Specific Volume</t>
  </si>
  <si>
    <t>gal/ft3</t>
  </si>
  <si>
    <t xml:space="preserve">F Factor </t>
  </si>
  <si>
    <t>I=0 per EPA for SCR</t>
  </si>
  <si>
    <t>New Burner Outlet</t>
  </si>
  <si>
    <t>Indicates Default values per EPA Cost Control Manual</t>
  </si>
  <si>
    <t>Max Actual Hours/Year</t>
  </si>
  <si>
    <t>NOx reduction efficiency based on emission guarantee for SCR pre-heater (100 ppmv) and a 20 ppmv outlet limit.</t>
  </si>
  <si>
    <t>Based on assumed 71% control efficiency</t>
  </si>
  <si>
    <t>For Pre-Heater Burner Required</t>
  </si>
  <si>
    <t>Replacement Term (Y)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</si>
  <si>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</si>
  <si>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</si>
  <si>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</si>
  <si>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</si>
  <si>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</si>
  <si>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</si>
  <si>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</si>
  <si>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</si>
  <si>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</si>
  <si>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</si>
  <si>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Equipment Life = 20 Years</t>
  </si>
  <si>
    <t>NOx BACT Analysis - SCR Installation</t>
  </si>
  <si>
    <t>Design Parameters</t>
  </si>
  <si>
    <t>Cost Analysis</t>
  </si>
  <si>
    <t>Design Notes</t>
  </si>
  <si>
    <r>
      <t>Fuel HHV</t>
    </r>
    <r>
      <rPr>
        <vertAlign val="superscript"/>
        <sz val="10"/>
        <rFont val="Arial"/>
        <family val="2"/>
      </rPr>
      <t>1</t>
    </r>
  </si>
  <si>
    <t>Operational Data</t>
  </si>
  <si>
    <t>Fuel Data</t>
  </si>
  <si>
    <t>Catalyst Paramaters</t>
  </si>
  <si>
    <t>Reagent Parameters</t>
  </si>
  <si>
    <t>Reagent Used</t>
  </si>
  <si>
    <t>ntotal</t>
  </si>
  <si>
    <t>NOx Efficiency Adjustment</t>
  </si>
  <si>
    <r>
      <t>Flue Gas Flow Rate</t>
    </r>
    <r>
      <rPr>
        <vertAlign val="superscript"/>
        <sz val="10"/>
        <rFont val="Arial"/>
        <family val="2"/>
      </rPr>
      <t>2</t>
    </r>
  </si>
  <si>
    <r>
      <t>SCR Inlet (Flow Weighted Avg)</t>
    </r>
    <r>
      <rPr>
        <vertAlign val="superscript"/>
        <sz val="10"/>
        <rFont val="Arial"/>
        <family val="2"/>
      </rPr>
      <t>4</t>
    </r>
  </si>
  <si>
    <r>
      <t>Temperature Adjustment</t>
    </r>
    <r>
      <rPr>
        <vertAlign val="superscript"/>
        <sz val="10"/>
        <rFont val="Arial"/>
        <family val="2"/>
      </rPr>
      <t>5</t>
    </r>
  </si>
  <si>
    <t>Main Power Generation Turbines</t>
  </si>
  <si>
    <t>EMISSION FACTORS</t>
  </si>
  <si>
    <t>Standard Factors</t>
  </si>
  <si>
    <t>Special/Vendor</t>
  </si>
  <si>
    <t>AP42 Table 3.1-1 and 3.1-2a</t>
  </si>
  <si>
    <t>40 CFR Part 98 (Natural Gas)</t>
  </si>
  <si>
    <t>Ambient Temp Basis (F)</t>
  </si>
  <si>
    <t>Load % Basis</t>
  </si>
  <si>
    <t>Supplemental Firing Vendor</t>
  </si>
  <si>
    <t>NOx (lb/MMBtu)</t>
  </si>
  <si>
    <t>Short-Term ppmvd @ 15% NOx</t>
  </si>
  <si>
    <t>CO (lb/MMBtu)</t>
  </si>
  <si>
    <t>Short-Term ppmvd @ 15% CO</t>
  </si>
  <si>
    <t>VOC (lb/MMBtu)</t>
  </si>
  <si>
    <t>Annual ppmvd @ 15% NOx</t>
  </si>
  <si>
    <t>PM10 (lb/MMBtu)</t>
  </si>
  <si>
    <t>Annual ppmvd @ 15% CO</t>
  </si>
  <si>
    <t>PM2.5 (lb/MMBtu)</t>
  </si>
  <si>
    <t>CO2 (kg CO2/MMBtu)</t>
  </si>
  <si>
    <t>CH4 (kg CH4/MMBtu)</t>
  </si>
  <si>
    <t>N2O (kg N2O/MMBtu)</t>
  </si>
  <si>
    <t>1.) AP42 Section 3.1 Emission Factors have been convert to AlaskaLNG fuel gas HHV by ratio of project fuel gas/1020 (btu/scf)</t>
  </si>
  <si>
    <t>EMISSIONS CALCULATIONS</t>
  </si>
  <si>
    <t>References/
Comments</t>
  </si>
  <si>
    <t>Turbine Parameters</t>
  </si>
  <si>
    <t>Short-Term</t>
  </si>
  <si>
    <t>Annual</t>
  </si>
  <si>
    <t>Total Installed</t>
  </si>
  <si>
    <t>Ambient Temperature Basis (F)</t>
  </si>
  <si>
    <t>Operation (hr/yr)</t>
  </si>
  <si>
    <t xml:space="preserve"> Device Power (hp)</t>
  </si>
  <si>
    <t>Device Power (kW)</t>
  </si>
  <si>
    <t>Turbine Heat Input HHV (MMBtu/hr)</t>
  </si>
  <si>
    <t>Fuel Flow Rate (lbmol/hr)</t>
  </si>
  <si>
    <t>Exhaust Flow MW (lb/lbmol)</t>
  </si>
  <si>
    <t>Exhaust Flow Rate WET (lb/hr)</t>
  </si>
  <si>
    <t>Exhaust Flow Rate (lbmol/hr)</t>
  </si>
  <si>
    <t xml:space="preserve">Exhaust H2O Concentration  </t>
  </si>
  <si>
    <t>Exhaust Flow Rate DRY (lbmol/hr)</t>
  </si>
  <si>
    <t>Exhaust O2 Concentration DRY</t>
  </si>
  <si>
    <t>Exhaust Flow Rate (acfh)</t>
  </si>
  <si>
    <t>Turbine Emission Factors</t>
  </si>
  <si>
    <t>NOx (ppmvd @15% O2)</t>
  </si>
  <si>
    <t>Adjusted to Actual O2 Amount</t>
  </si>
  <si>
    <t>CO (ppmvd @15% O2)</t>
  </si>
  <si>
    <t>Conversion Table</t>
  </si>
  <si>
    <t>1 lb =</t>
  </si>
  <si>
    <t>g</t>
  </si>
  <si>
    <t xml:space="preserve">1 lbmol = </t>
  </si>
  <si>
    <t>scf</t>
  </si>
  <si>
    <t xml:space="preserve">SO2 </t>
  </si>
  <si>
    <t>No Emission Factor</t>
  </si>
  <si>
    <t>Based on Mass Balance of Sulfur</t>
  </si>
  <si>
    <t>1 MMBtu=</t>
  </si>
  <si>
    <t>Btu</t>
  </si>
  <si>
    <t xml:space="preserve">1 hr = </t>
  </si>
  <si>
    <t>min</t>
  </si>
  <si>
    <t>1 ft3 =</t>
  </si>
  <si>
    <t>m3</t>
  </si>
  <si>
    <t>1 min =</t>
  </si>
  <si>
    <t>sec</t>
  </si>
  <si>
    <t>Turbine Emission Calculations (Maximum 1-hour)</t>
  </si>
  <si>
    <t xml:space="preserve">1 kJ = </t>
  </si>
  <si>
    <t>MMBtu</t>
  </si>
  <si>
    <t>NOx (lb/hr)</t>
  </si>
  <si>
    <t xml:space="preserve">1 scf = </t>
  </si>
  <si>
    <t>L</t>
  </si>
  <si>
    <t>CO (lb/hr)</t>
  </si>
  <si>
    <t xml:space="preserve">1 g = </t>
  </si>
  <si>
    <t>ug</t>
  </si>
  <si>
    <t>VOC (lb/hr)</t>
  </si>
  <si>
    <t xml:space="preserve">1 ton = </t>
  </si>
  <si>
    <t>lb</t>
  </si>
  <si>
    <t>PM10 (lb/hr)</t>
  </si>
  <si>
    <t xml:space="preserve">1 hp = </t>
  </si>
  <si>
    <t>kW</t>
  </si>
  <si>
    <t>PM2.5 (lb/hr)</t>
  </si>
  <si>
    <t>1 kg =</t>
  </si>
  <si>
    <t>SO2 @ 16 ppm (lb/hr)</t>
  </si>
  <si>
    <t>1 mol =</t>
  </si>
  <si>
    <t>ppm</t>
  </si>
  <si>
    <t>SO2 @ 96 ppm (lb/hr)</t>
  </si>
  <si>
    <t>1 tonnes =</t>
  </si>
  <si>
    <t>kg</t>
  </si>
  <si>
    <t>CO2 (lb/hr)</t>
  </si>
  <si>
    <t>CH4 (lb/hr)</t>
  </si>
  <si>
    <t>Heat Release Equivalents</t>
  </si>
  <si>
    <t>N2O (lb/hr)</t>
  </si>
  <si>
    <t>CO2</t>
  </si>
  <si>
    <t>CO2e (lb/hr)</t>
  </si>
  <si>
    <t>CH4</t>
  </si>
  <si>
    <t>N2O</t>
  </si>
  <si>
    <t>NO2</t>
  </si>
  <si>
    <t>CO</t>
  </si>
  <si>
    <t>Total Emission Calculations (Annual)</t>
  </si>
  <si>
    <t>NOx (tpy)</t>
  </si>
  <si>
    <t>CO (tpy)</t>
  </si>
  <si>
    <t>VOC (tpy)</t>
  </si>
  <si>
    <t>PM10 (tpy)</t>
  </si>
  <si>
    <t>PM2.5 (tpy)</t>
  </si>
  <si>
    <t>SO2 @ 16 ppm (tpy)</t>
  </si>
  <si>
    <t>SO2 @ 96 ppm (tpy)</t>
  </si>
  <si>
    <t>CO2 (tonnes/yr)</t>
  </si>
  <si>
    <t>CH4 (tonnes/yr)</t>
  </si>
  <si>
    <t>N2O (tonnes/yr)</t>
  </si>
  <si>
    <t>CO2e (tonnes/yr)</t>
  </si>
  <si>
    <t>Stack Parameters</t>
  </si>
  <si>
    <t>Stack Height (ft)</t>
  </si>
  <si>
    <t>Exhaust Temp Ambient Temp Basis (F)</t>
  </si>
  <si>
    <t>Exhaust Temp Load % Basis</t>
  </si>
  <si>
    <t>Exhaust Temperature (F)</t>
  </si>
  <si>
    <t>Exhaust Velocity Ambient Temp Basis (F)</t>
  </si>
  <si>
    <t>Exhaust Velocity Load % Basis</t>
  </si>
  <si>
    <t>Exhaust Velocity (ft/s)</t>
  </si>
  <si>
    <t>Stack Diameter (ft)</t>
  </si>
  <si>
    <t>NO2/NOx Ratio</t>
  </si>
  <si>
    <t>Component</t>
  </si>
  <si>
    <t>% By Volume</t>
  </si>
  <si>
    <t>MW</t>
  </si>
  <si>
    <t>Conversion of 1 grain/100 scf of H2S to Sulfur</t>
  </si>
  <si>
    <t>Hydrogen</t>
  </si>
  <si>
    <t>GPSA Calculation:</t>
  </si>
  <si>
    <t>Methane</t>
  </si>
  <si>
    <t>Ethane</t>
  </si>
  <si>
    <t>Ethylene</t>
  </si>
  <si>
    <t>Sulfur Molecular Weight</t>
  </si>
  <si>
    <t>Propane</t>
  </si>
  <si>
    <t>H2S Molecular Weight</t>
  </si>
  <si>
    <t>Propylene</t>
  </si>
  <si>
    <t>Butane</t>
  </si>
  <si>
    <t>Butylene</t>
  </si>
  <si>
    <t>ppm H2S of Rich Gas</t>
  </si>
  <si>
    <t>Butadiene</t>
  </si>
  <si>
    <t>ppm S equivalent</t>
  </si>
  <si>
    <t>Pentane</t>
  </si>
  <si>
    <t>Cyclopentane</t>
  </si>
  <si>
    <t>Hexane</t>
  </si>
  <si>
    <t>Heptane</t>
  </si>
  <si>
    <t xml:space="preserve">CO2 </t>
  </si>
  <si>
    <t>Nitrogen</t>
  </si>
  <si>
    <t>Water</t>
  </si>
  <si>
    <t>Oxygen</t>
  </si>
  <si>
    <t>Lean Gas - S (Note 1)</t>
  </si>
  <si>
    <t>Rich Gas - S (Note 1)</t>
  </si>
  <si>
    <t>Argon</t>
  </si>
  <si>
    <t>Properties</t>
  </si>
  <si>
    <t>Temp</t>
  </si>
  <si>
    <t>Fuel Heating Value at 82ºF:</t>
  </si>
  <si>
    <t>Net (Btu/lbm)</t>
  </si>
  <si>
    <t>Net (Btu/scf)</t>
  </si>
  <si>
    <t>Gross (Btu/lbm)</t>
  </si>
  <si>
    <t>Gross (Btu/scf)</t>
  </si>
  <si>
    <t>scf defined at 14.676 psia, 60F</t>
  </si>
  <si>
    <t>REFERENCE GTP COOKBOOK USAG-EC-PRZZ-00-000003_EMISSIONS DATA REV 1</t>
  </si>
  <si>
    <t>Normal maximum sulfur based on 16 ppmv for total sulfur being equal to the pipeline specification of 1 grain/100 scf. This assumes all H2S and other mercaptans are included in Sulfur value</t>
  </si>
  <si>
    <t>Sulfur Content (H2S)</t>
  </si>
  <si>
    <t>Assume ULSD required</t>
  </si>
  <si>
    <t>Specific Gravity</t>
  </si>
  <si>
    <t>average value at 60oF</t>
  </si>
  <si>
    <t>lb/gal</t>
  </si>
  <si>
    <t>LHV</t>
  </si>
  <si>
    <t>MMBtu/gal</t>
  </si>
  <si>
    <t>Btu/lb</t>
  </si>
  <si>
    <t>HHV</t>
  </si>
  <si>
    <t>Assumed 10% higher than LHV</t>
  </si>
  <si>
    <t>lb SO2/gal Fuel</t>
  </si>
  <si>
    <t>Nox Removal Efficiency</t>
  </si>
  <si>
    <t>Turbine Outlet</t>
  </si>
  <si>
    <t>7% per Agrium US Inc, Kenai Nitrogen Operations Facility Air Quality Control Construction Permit AQ0083CPT06</t>
  </si>
  <si>
    <t>Notes</t>
  </si>
  <si>
    <t>Natural Gas per Department of Energy: Alaska Natural Gas Prices for Industry 2017</t>
  </si>
  <si>
    <t>https://www.eia.gov/dnav/ng/ng_pri_sum_dcu_SAK_m.htm</t>
  </si>
  <si>
    <t>Natural Gas - Alaska</t>
  </si>
  <si>
    <t>2017 Utility Bundled Retail Sales- Industrial</t>
  </si>
  <si>
    <t>(Data from forms EIA-861- schedules 4A &amp; 4D and EIA-861S)</t>
  </si>
  <si>
    <t>Entity</t>
  </si>
  <si>
    <t>State</t>
  </si>
  <si>
    <t>Ownership</t>
  </si>
  <si>
    <t>Customers (Count)</t>
  </si>
  <si>
    <t>Sales (Megawatthours)</t>
  </si>
  <si>
    <t>Revenues (Thousands Dollars)</t>
  </si>
  <si>
    <t>Average Price (cents/kWh)</t>
  </si>
  <si>
    <t>Alaska Electric Light&amp;Power Co</t>
  </si>
  <si>
    <t>AK</t>
  </si>
  <si>
    <t>Investor Owned</t>
  </si>
  <si>
    <t>Chugach Electric Assn Inc</t>
  </si>
  <si>
    <t>Cooperative</t>
  </si>
  <si>
    <t>City &amp; Borough of Sitka - (AK)</t>
  </si>
  <si>
    <t>Municipal</t>
  </si>
  <si>
    <t>City of Unalaska - (AK)</t>
  </si>
  <si>
    <t>Cordova Electric Coop, Inc</t>
  </si>
  <si>
    <t>Golden Valley Elec Assn Inc</t>
  </si>
  <si>
    <t>Homer Electric Assn Inc</t>
  </si>
  <si>
    <t>Ketchikan Public Utilities</t>
  </si>
  <si>
    <t>Kodiak Electric Assn Inc</t>
  </si>
  <si>
    <t>Petersburg Borough - (AK)</t>
  </si>
  <si>
    <t>Adjustment 2017</t>
  </si>
  <si>
    <t>Other</t>
  </si>
  <si>
    <t>.</t>
  </si>
  <si>
    <t>Electricity pricing per Department of Energy, annual retail sales of electricity to industrial customers</t>
  </si>
  <si>
    <t>https://www.eia.gov/electricity/data.php#sales</t>
  </si>
  <si>
    <t>Ammonia Slip</t>
  </si>
  <si>
    <t>Alaska LNG Project</t>
  </si>
  <si>
    <t>Cost Quantification:</t>
  </si>
  <si>
    <t>Cost Category</t>
  </si>
  <si>
    <t>Project Cost</t>
  </si>
  <si>
    <t>Default Estimate</t>
  </si>
  <si>
    <t>Default % Applied</t>
  </si>
  <si>
    <t>EPA Equation /
Estimate Basis</t>
  </si>
  <si>
    <t>Reference</t>
  </si>
  <si>
    <t>Default</t>
  </si>
  <si>
    <t>Final</t>
  </si>
  <si>
    <t>Final Units</t>
  </si>
  <si>
    <t>Cond Format</t>
  </si>
  <si>
    <t>Direct Capital Costs</t>
  </si>
  <si>
    <t>Purchased Equipment:</t>
  </si>
  <si>
    <t>Purchased Equipment Costs</t>
  </si>
  <si>
    <t>-</t>
  </si>
  <si>
    <t>Vendor Supplied</t>
  </si>
  <si>
    <t>$</t>
  </si>
  <si>
    <t>Need input</t>
  </si>
  <si>
    <t>Ammonia System</t>
  </si>
  <si>
    <t>Instrumentation &amp; Controls</t>
  </si>
  <si>
    <t>AECOM equipment estimating data</t>
  </si>
  <si>
    <t>Freight</t>
  </si>
  <si>
    <r>
      <t xml:space="preserve">Taxes </t>
    </r>
    <r>
      <rPr>
        <sz val="9"/>
        <color theme="1"/>
        <rFont val="Calibri"/>
        <family val="2"/>
        <scheme val="minor"/>
      </rPr>
      <t>(Enter sales tax rate in "% Applied")</t>
    </r>
  </si>
  <si>
    <t>TaxRate x (A+B+C)</t>
  </si>
  <si>
    <t>No sales tax in Alaska</t>
  </si>
  <si>
    <t>Total Purchased Equipment Cost (PE)</t>
  </si>
  <si>
    <t>PE</t>
  </si>
  <si>
    <t>Direct Installation Costs:</t>
  </si>
  <si>
    <t>Foundation &amp; Supports</t>
  </si>
  <si>
    <t>Erection and Handling</t>
  </si>
  <si>
    <t>Electrical</t>
  </si>
  <si>
    <t>Piping</t>
  </si>
  <si>
    <t>Insulation</t>
  </si>
  <si>
    <t>Painting</t>
  </si>
  <si>
    <t>Site Preparation</t>
  </si>
  <si>
    <t>engineering judgement</t>
  </si>
  <si>
    <t>Total Direct Installation Cost (DI)</t>
  </si>
  <si>
    <t>DI</t>
  </si>
  <si>
    <t>Total Direct Capital Costs (DC)</t>
  </si>
  <si>
    <t>DC = PE + DI</t>
  </si>
  <si>
    <t>Indirect Capital Costs</t>
  </si>
  <si>
    <t>Indirect Costs:</t>
  </si>
  <si>
    <t>Engineering &amp; Supervision</t>
  </si>
  <si>
    <t>Construction and Field Expenses</t>
  </si>
  <si>
    <t>Contractor Fees</t>
  </si>
  <si>
    <t>Startup-up</t>
  </si>
  <si>
    <t>Performance Testing</t>
  </si>
  <si>
    <t>Total Indirect Costs (TIC)</t>
  </si>
  <si>
    <t>IC</t>
  </si>
  <si>
    <t>Capital Investment:</t>
  </si>
  <si>
    <t>OAQPS (15% of DC &amp; TIC)</t>
  </si>
  <si>
    <t>OAQPS (2% of DC &amp; TIC &amp; Proj Contingency)</t>
  </si>
  <si>
    <t>Inventory Capital (initial reagent fill)</t>
  </si>
  <si>
    <t>G = [Storage Gal] x [Reagent $/gal]</t>
  </si>
  <si>
    <t>See parameters below</t>
  </si>
  <si>
    <t>Eqn. 2.44 (Section 4.2, Ch. 2)</t>
  </si>
  <si>
    <t>TCI = DC + IC + E + F + G</t>
  </si>
  <si>
    <t>Direct Annual Costs</t>
  </si>
  <si>
    <t>Direct Annual Costs:</t>
  </si>
  <si>
    <t>Supervisory Labor</t>
  </si>
  <si>
    <t>15% of Op. Labor</t>
  </si>
  <si>
    <t>OAQPS (15% of Op Labor)</t>
  </si>
  <si>
    <t>Maintenance Labor</t>
  </si>
  <si>
    <t>OAQPS (1.5% of TCI)</t>
  </si>
  <si>
    <t>Maintenance Materials</t>
  </si>
  <si>
    <t>100% of Maint. Labor</t>
  </si>
  <si>
    <t>OAQPS (15% of Maint. Labor)</t>
  </si>
  <si>
    <t>Annual Reagent Cost</t>
  </si>
  <si>
    <t>q*Cost*[op hr/yr]</t>
  </si>
  <si>
    <t>Eqn 2.47 (Section 4.2, Ch. 2)</t>
  </si>
  <si>
    <t>Annual Electricity Cost</t>
  </si>
  <si>
    <t>Eqn 2.49 (Section 4.2, Ch. 2)</t>
  </si>
  <si>
    <t>Catalyst Disposal Cost</t>
  </si>
  <si>
    <t>Engineering Estimate</t>
  </si>
  <si>
    <t>Fuel Penalty Costs (specify)</t>
  </si>
  <si>
    <t>Other Maintenance Cost (specify)</t>
  </si>
  <si>
    <t>DAC</t>
  </si>
  <si>
    <t>Indirect Annual Costs:</t>
  </si>
  <si>
    <t>Overhead</t>
  </si>
  <si>
    <t>OAQPS (60% of Op/Super/Maint. Labor &amp; Mtls)</t>
  </si>
  <si>
    <t>Property Tax</t>
  </si>
  <si>
    <t>OAQPS (1%)</t>
  </si>
  <si>
    <t>Insurance</t>
  </si>
  <si>
    <t>General Administrative</t>
  </si>
  <si>
    <t>OAQPS (2%)</t>
  </si>
  <si>
    <t>Total Indirect Annual Costs</t>
  </si>
  <si>
    <t>Capital Recovery Cost</t>
  </si>
  <si>
    <t>Equipment Life (years)</t>
  </si>
  <si>
    <t>n</t>
  </si>
  <si>
    <t>years</t>
  </si>
  <si>
    <t>i</t>
  </si>
  <si>
    <t>%</t>
  </si>
  <si>
    <t>CRF = i/(1-(1+i)^-n)</t>
  </si>
  <si>
    <t>OAQPS Eqn 2.54 (Section 4.2, Ch. 2)</t>
  </si>
  <si>
    <t>Eqn 2.54 (Section 4.2, Ch. 2)</t>
  </si>
  <si>
    <t>TAC = DA + IDAC + CRC</t>
  </si>
  <si>
    <t>OAQPS Eqn 2.56 (Section 4.2, Ch. 2)</t>
  </si>
  <si>
    <t>$/yr</t>
  </si>
  <si>
    <t>Eqn 2.56 (Section 4.2, Ch. 2)</t>
  </si>
  <si>
    <t>Cost Effectiveness Analysis:</t>
  </si>
  <si>
    <t>Uncontrolled NOx (tpy)</t>
  </si>
  <si>
    <t>Calculated below</t>
  </si>
  <si>
    <t>Controlled NOx Emissions (tpy)</t>
  </si>
  <si>
    <t>NOx Reduction (tpy)</t>
  </si>
  <si>
    <t>Calculated above</t>
  </si>
  <si>
    <t>Cost Effectiveness ($/ton/yr)</t>
  </si>
  <si>
    <t>OAQPS Eqn 2.58 (Section 4.2, Ch. 2)</t>
  </si>
  <si>
    <t>Cost Effectiveness Threshold ($/ton/yr)</t>
  </si>
  <si>
    <t>Conclusion:</t>
  </si>
  <si>
    <t>Design Parameters:</t>
  </si>
  <si>
    <t>Enter values in boxes below. Where default value is available, entered value will override default.</t>
  </si>
  <si>
    <t>Required data is highlighted yellow.</t>
  </si>
  <si>
    <t>Combustion Unit Sizing</t>
  </si>
  <si>
    <t>Turbine heat capacity:</t>
  </si>
  <si>
    <t>Duct burner heat capacity, if applicable:</t>
  </si>
  <si>
    <t>NOx Emission Rates</t>
  </si>
  <si>
    <t>Turbine uncontrolled NOx concentration:</t>
  </si>
  <si>
    <t>lb NOx/MMBtu</t>
  </si>
  <si>
    <t>or</t>
  </si>
  <si>
    <t>lb NOx/MMscf</t>
  </si>
  <si>
    <t>ppmv @ 15% O2</t>
  </si>
  <si>
    <t>Assumption for baseline/uncontrolled emissions</t>
  </si>
  <si>
    <t>or (default)</t>
  </si>
  <si>
    <t>Duct burner uncontrolled NOx concentration:</t>
  </si>
  <si>
    <t>ppmv @ 3% O2</t>
  </si>
  <si>
    <t>Controlled NOx concentration:</t>
  </si>
  <si>
    <t>Most stringent limit identified as BACT</t>
  </si>
  <si>
    <t>Natural Gas Properties</t>
  </si>
  <si>
    <t>dscf/MMBtu</t>
  </si>
  <si>
    <t xml:space="preserve">EPA 40 CFR Part 60 Appendix A, Method 19, Table 19-2 </t>
  </si>
  <si>
    <t>Operational Parameters</t>
  </si>
  <si>
    <t>hr/yr</t>
  </si>
  <si>
    <t>hours</t>
  </si>
  <si>
    <r>
      <rPr>
        <b/>
        <sz val="10"/>
        <color theme="1"/>
        <rFont val="Calibri"/>
        <family val="2"/>
        <scheme val="minor"/>
      </rPr>
      <t>Annual Electricity Costs:</t>
    </r>
    <r>
      <rPr>
        <sz val="10"/>
        <color theme="1"/>
        <rFont val="Calibri"/>
        <family val="2"/>
        <scheme val="minor"/>
      </rPr>
      <t xml:space="preserve"> Enter values below. Where default value is available, entered number overrides default.</t>
    </r>
  </si>
  <si>
    <t>Power demand:</t>
  </si>
  <si>
    <t>Eqn 2.48 (Section 4.2, Ch. 2)</t>
  </si>
  <si>
    <t>If power demand is not known, estimate on the basis of the parameters below:</t>
  </si>
  <si>
    <t>delta P duct [Default: 3 in H2O]</t>
  </si>
  <si>
    <t>OAQPS Eqn 2.48 (Section 4.2, Ch. 2)</t>
  </si>
  <si>
    <t>in H2O</t>
  </si>
  <si>
    <t>delta P catalyst (per layer) [Default: 1 in H2O]</t>
  </si>
  <si>
    <t>number of layers of catalyst</t>
  </si>
  <si>
    <t># layers</t>
  </si>
  <si>
    <t>Calculated Power demand:</t>
  </si>
  <si>
    <r>
      <rPr>
        <b/>
        <sz val="10"/>
        <color theme="1"/>
        <rFont val="Calibri"/>
        <family val="2"/>
        <scheme val="minor"/>
      </rPr>
      <t>Aqueous Ammonia Costs:</t>
    </r>
    <r>
      <rPr>
        <sz val="10"/>
        <color theme="1"/>
        <rFont val="Calibri"/>
        <family val="2"/>
        <scheme val="minor"/>
      </rPr>
      <t xml:space="preserve"> Enter values below or parameters to estimate.</t>
    </r>
  </si>
  <si>
    <t>Aqueous ammonia cost:</t>
  </si>
  <si>
    <t>$/gallon</t>
  </si>
  <si>
    <t>Aqueous ammonia storage volume:</t>
  </si>
  <si>
    <t>gallons</t>
  </si>
  <si>
    <t>days' worth</t>
  </si>
  <si>
    <t>Aqueous ammonia consumption rate:</t>
  </si>
  <si>
    <t>If aqueous ammonia consumption rate not known, estimate on the basis of the parameters below:</t>
  </si>
  <si>
    <t>wt%</t>
  </si>
  <si>
    <t>Eqn 2.34 (Section 4.2, Ch. 2)</t>
  </si>
  <si>
    <r>
      <t>NH3 solution mass flow rate (m</t>
    </r>
    <r>
      <rPr>
        <vertAlign val="subscript"/>
        <sz val="11"/>
        <color theme="1"/>
        <rFont val="Calibri"/>
        <family val="2"/>
        <scheme val="minor"/>
      </rPr>
      <t>sol</t>
    </r>
    <r>
      <rPr>
        <sz val="10"/>
        <rFont val="Arial"/>
        <family val="2"/>
      </rPr>
      <t>)</t>
    </r>
  </si>
  <si>
    <t>Eqn 2.32, 2.33 (Section 4.2, Ch. 2)</t>
  </si>
  <si>
    <t>Engineeering Data</t>
  </si>
  <si>
    <t>Calculated Aqueous ammonia consumption rate:</t>
  </si>
  <si>
    <t>OAQPS Eqn 2.32-2.34 (Section 4.2, Ch. 2)</t>
  </si>
  <si>
    <t xml:space="preserve">Catalyst Costs: </t>
  </si>
  <si>
    <t>Initial catalyst cost:</t>
  </si>
  <si>
    <t>Catalyst replacement frequency:</t>
  </si>
  <si>
    <t>ADEC Default</t>
  </si>
  <si>
    <t>Annual Catalyst Replacement Cost</t>
  </si>
  <si>
    <t>OAQPS Eqn 2.51 (Section 4.2, Ch. 2)</t>
  </si>
  <si>
    <t>Eqn 2.51 (Section 4.2, Ch. 2)</t>
  </si>
  <si>
    <t>* OAQPS refers to the EPA Air Pollution Control Cost Manual, Sixth Edition and subsequent revisions.</t>
  </si>
  <si>
    <t>Power Gen SCR Cost Effectiveness Analysis</t>
  </si>
  <si>
    <r>
      <t>3</t>
    </r>
    <r>
      <rPr>
        <sz val="10"/>
        <rFont val="Arial"/>
        <family val="2"/>
      </rPr>
      <t>Turbine outlet/SCR inlet Nox as described in BACT document and associated emission calculations.</t>
    </r>
  </si>
  <si>
    <r>
      <t>Turbine Outlet</t>
    </r>
    <r>
      <rPr>
        <vertAlign val="superscript"/>
        <sz val="10"/>
        <rFont val="Arial"/>
        <family val="2"/>
      </rPr>
      <t>3</t>
    </r>
  </si>
  <si>
    <t>SCR Inlet (Flow Weighted Avg)</t>
  </si>
  <si>
    <r>
      <t>4</t>
    </r>
    <r>
      <rPr>
        <sz val="10"/>
        <rFont val="Arial"/>
        <family val="2"/>
      </rPr>
      <t>Assumed temperature of the exhaust to SCR 750 deg F.</t>
    </r>
  </si>
  <si>
    <r>
      <t>Temperature Adjustment</t>
    </r>
    <r>
      <rPr>
        <vertAlign val="superscript"/>
        <sz val="10"/>
        <rFont val="Arial"/>
        <family val="2"/>
      </rPr>
      <t>4</t>
    </r>
  </si>
  <si>
    <t>Included in Purchased Equipment Costs</t>
  </si>
  <si>
    <r>
      <t>Turbine Size</t>
    </r>
    <r>
      <rPr>
        <vertAlign val="superscript"/>
        <sz val="10"/>
        <rFont val="Arial"/>
        <family val="2"/>
      </rPr>
      <t>2</t>
    </r>
  </si>
  <si>
    <t>Max Potential Hours/Year</t>
  </si>
  <si>
    <r>
      <t>Reagent Cost</t>
    </r>
    <r>
      <rPr>
        <vertAlign val="superscript"/>
        <sz val="10"/>
        <rFont val="Arial"/>
        <family val="2"/>
      </rPr>
      <t>5</t>
    </r>
  </si>
  <si>
    <r>
      <t>Interest Rate</t>
    </r>
    <r>
      <rPr>
        <vertAlign val="superscript"/>
        <sz val="10"/>
        <rFont val="Arial"/>
        <family val="2"/>
      </rPr>
      <t>6</t>
    </r>
  </si>
  <si>
    <r>
      <t xml:space="preserve">6 </t>
    </r>
    <r>
      <rPr>
        <sz val="10"/>
        <rFont val="Arial"/>
        <family val="2"/>
      </rPr>
      <t>7% Interest Rate per Agrium US Inc, Kenai Nitrogen Operations Facility Air Quality Control Construction Permit AQ0083CPT06</t>
    </r>
  </si>
  <si>
    <r>
      <rPr>
        <vertAlign val="superscript"/>
        <sz val="10"/>
        <rFont val="Arial"/>
        <family val="2"/>
      </rPr>
      <t xml:space="preserve">7 </t>
    </r>
    <r>
      <rPr>
        <sz val="10"/>
        <rFont val="Arial"/>
        <family val="2"/>
      </rPr>
      <t>Electricity pricing per Department of Energy, annual retail sales of electricity to industrial customers in Alaska: https://www.eia.gov/electricity/data.php#sales</t>
    </r>
  </si>
  <si>
    <r>
      <t>Electricity Cost</t>
    </r>
    <r>
      <rPr>
        <vertAlign val="superscript"/>
        <sz val="10"/>
        <rFont val="Arial"/>
        <family val="2"/>
      </rPr>
      <t>7</t>
    </r>
  </si>
  <si>
    <r>
      <t>Natural Gas Cost</t>
    </r>
    <r>
      <rPr>
        <vertAlign val="superscript"/>
        <sz val="10"/>
        <rFont val="Arial"/>
        <family val="2"/>
      </rPr>
      <t>8</t>
    </r>
  </si>
  <si>
    <r>
      <rPr>
        <vertAlign val="superscript"/>
        <sz val="10"/>
        <rFont val="Arial"/>
        <family val="2"/>
      </rPr>
      <t>8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rFont val="Arial"/>
        <family val="2"/>
      </rPr>
      <t>Natural Gas per Department of Energy: Alaska Natural Gas Prices for Industry 2017: https://www.eia.gov/dnav/ng/ng_pri_sum_dcu_SAK_m.htm</t>
    </r>
  </si>
  <si>
    <t>OAQPS (Section 4.2, Ch. 2)</t>
  </si>
  <si>
    <r>
      <rPr>
        <vertAlign val="superscript"/>
        <sz val="10"/>
        <rFont val="Arial"/>
        <family val="2"/>
      </rPr>
      <t>9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rFont val="Arial"/>
        <family val="2"/>
      </rPr>
      <t>Catalyst cost estimate per EPA Cost Control Manual, adjusted from 2012 dollars.</t>
    </r>
  </si>
  <si>
    <r>
      <t>Initial Catalyst Cost</t>
    </r>
    <r>
      <rPr>
        <vertAlign val="superscript"/>
        <sz val="10"/>
        <rFont val="Arial"/>
        <family val="2"/>
      </rPr>
      <t>9</t>
    </r>
  </si>
  <si>
    <r>
      <t>Q</t>
    </r>
    <r>
      <rPr>
        <vertAlign val="subscript"/>
        <sz val="10"/>
        <rFont val="Arial"/>
        <family val="2"/>
      </rPr>
      <t xml:space="preserve">B </t>
    </r>
    <r>
      <rPr>
        <sz val="10"/>
        <rFont val="Arial"/>
        <family val="2"/>
      </rPr>
      <t>(MMBtu/hr)</t>
    </r>
  </si>
  <si>
    <r>
      <t>C</t>
    </r>
    <r>
      <rPr>
        <vertAlign val="subscript"/>
        <sz val="10"/>
        <rFont val="Arial"/>
        <family val="2"/>
      </rPr>
      <t>sol</t>
    </r>
  </si>
  <si>
    <t>Number of Reactor Chambers</t>
  </si>
  <si>
    <t>Nscr</t>
  </si>
  <si>
    <t>Equation 2.36</t>
  </si>
  <si>
    <r>
      <t>Specific Volume (V</t>
    </r>
    <r>
      <rPr>
        <vertAlign val="subscript"/>
        <sz val="10"/>
        <rFont val="Arial"/>
        <family val="2"/>
      </rPr>
      <t>sol</t>
    </r>
    <r>
      <rPr>
        <sz val="10"/>
        <rFont val="Arial"/>
        <family val="2"/>
      </rPr>
      <t>)</t>
    </r>
  </si>
  <si>
    <t>Calculated from OAQPS Eqn 2.36</t>
  </si>
  <si>
    <t>Density (psol)</t>
  </si>
  <si>
    <r>
      <t>Specific Volume (V</t>
    </r>
    <r>
      <rPr>
        <vertAlign val="subscript"/>
        <sz val="10"/>
        <rFont val="Arial"/>
        <family val="2"/>
      </rPr>
      <t>sol)</t>
    </r>
  </si>
  <si>
    <r>
      <t>q</t>
    </r>
    <r>
      <rPr>
        <vertAlign val="subscript"/>
        <sz val="10"/>
        <rFont val="Arial"/>
        <family val="2"/>
      </rPr>
      <t>fluegas</t>
    </r>
    <r>
      <rPr>
        <sz val="10"/>
        <rFont val="Arial"/>
        <family val="2"/>
      </rPr>
      <t xml:space="preserve"> (acfm)</t>
    </r>
  </si>
  <si>
    <t>nempty</t>
  </si>
  <si>
    <t>Empty Layers</t>
  </si>
  <si>
    <t>Total Catalyst Layers</t>
  </si>
  <si>
    <t>nlayers</t>
  </si>
  <si>
    <t>EPA Cost Control Version 6, Table 1.3</t>
  </si>
  <si>
    <t>Compressor Turbine Vendor</t>
  </si>
  <si>
    <t>Compressor Turbines</t>
  </si>
  <si>
    <t>Power Generation Turbine Vendor</t>
  </si>
  <si>
    <t>From CB&amp;I/Chiyoda Calculation</t>
  </si>
  <si>
    <t>From CB&amp;I/Chiyoda Calculation with HRSG</t>
  </si>
  <si>
    <t>EPA's ISR Guidance (Date: 3-1-2011)</t>
  </si>
  <si>
    <t>LNG Diesel Fuel Specification</t>
  </si>
  <si>
    <t>LNG Fuel Gas Specification</t>
  </si>
  <si>
    <r>
      <t>5</t>
    </r>
    <r>
      <rPr>
        <sz val="10"/>
        <rFont val="Arial"/>
        <family val="2"/>
      </rPr>
      <t>Ammonia cost per Weekly Fertilizer Review, 4/2015</t>
    </r>
  </si>
  <si>
    <t>SCR Cost Effectiveness Analysis</t>
  </si>
  <si>
    <r>
      <t>1</t>
    </r>
    <r>
      <rPr>
        <sz val="10"/>
        <rFont val="Arial"/>
        <family val="2"/>
      </rPr>
      <t>GTP Fuel Gas Specifications as identified in Emission Calculations for LNG</t>
    </r>
  </si>
  <si>
    <t>AeriNOx Quote (1/7/2020)</t>
  </si>
  <si>
    <t>OAQPS (5% of PE)</t>
  </si>
  <si>
    <t>OAQPS (4-12% of PE)</t>
  </si>
  <si>
    <t>OAQPS (14-50% of PE)</t>
  </si>
  <si>
    <t>OAQPS (1-8% of PE)</t>
  </si>
  <si>
    <t>OAQPS (1-30% of PE)</t>
  </si>
  <si>
    <t>OAQPS (1-7% of PE)</t>
  </si>
  <si>
    <t>OAQPS (1-4% of PE)</t>
  </si>
  <si>
    <t>Project-Specific</t>
  </si>
  <si>
    <t>OAQPS (10-20% of PE)</t>
  </si>
  <si>
    <t>OAQPS (5-20% of PE)</t>
  </si>
  <si>
    <t>OAQPS (0-10% of PE)</t>
  </si>
  <si>
    <t>OAQPS (1-2% of PE)</t>
  </si>
  <si>
    <t>OAQPS (1% of PE)</t>
  </si>
  <si>
    <t>Compressor Driver Natural Gas Turbine</t>
  </si>
  <si>
    <t>Power Generation Natural Gas Turbine</t>
  </si>
  <si>
    <t>OAQPS</t>
  </si>
  <si>
    <t>Average:</t>
  </si>
  <si>
    <t>Electricity pricing per Department of Energy, annual retail sales of electricity to industrial customers in Alaska in 2017.</t>
  </si>
  <si>
    <t>Ammonia cost as specified in AKLNG Supporting Data (USAL-CB-SRZZZ-00-000005-500): $0.30/pound (Weekly Fertilizer Review, 4/2015)</t>
  </si>
  <si>
    <t>Ammonia cost based on $0.30/pound (Weekly Fertilizer Review, 4/2015)</t>
  </si>
  <si>
    <t>EPA Assumes equipment is managed by existing staff.</t>
  </si>
  <si>
    <t>EPA Default</t>
  </si>
  <si>
    <t>Reference: Resource Report 9 - Appendix A, Table EC-4.  USAL-P1-SRZZZ-00-0000001-000 (11-Oct-16)</t>
  </si>
  <si>
    <t>Liquefaction Facility Fuel Gas-Driven Turbines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</si>
</sst>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0.0000"/>
    <numFmt numFmtId="167" formatCode="0.00000"/>
    <numFmt numFmtId="168" formatCode="_(&quot;$&quot;* #,##0_);_(&quot;$&quot;* \(#,##0\);_(&quot;$&quot;* &quot;-&quot;??_);_(@_)"/>
    <numFmt numFmtId="169" formatCode="#,##0.0000"/>
    <numFmt numFmtId="170" formatCode="&quot;$&quot;#,##0.0000"/>
    <numFmt numFmtId="171" formatCode="0.000"/>
    <numFmt numFmtId="172" formatCode="#,##0.0"/>
    <numFmt numFmtId="173" formatCode="0.0%"/>
    <numFmt numFmtId="174" formatCode="_(&quot;$&quot;* #,##0.000000_);_(&quot;$&quot;* \(#,##0.000000\);_(&quot;$&quot;* &quot;-&quot;??_);_(@_)"/>
    <numFmt numFmtId="175" formatCode="&quot;$&quot;#,##0.000"/>
    <numFmt numFmtId="176" formatCode="_(* #,##0_);_(* \(#,##0\);_(* &quot;-&quot;??_);_(@_)"/>
    <numFmt numFmtId="177" formatCode="#,##0.000"/>
    <numFmt numFmtId="178" formatCode="0.0"/>
    <numFmt numFmtId="179" formatCode="_(* #,##0.000_);_(* \(#,##0.000\);_(* &quot;-&quot;??_);_(@_)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2"/>
      <name val="Arial"/>
      <family val="2"/>
    </font>
    <font>
      <sz val="11"/>
      <color indexed="60"/>
      <name val="Arial"/>
      <family val="2"/>
    </font>
    <font>
      <sz val="11"/>
      <color indexed="8"/>
      <name val="Calibri"/>
      <family val="2"/>
    </font>
    <font>
      <sz val="12"/>
      <name val="Helv"/>
    </font>
    <font>
      <b/>
      <sz val="11"/>
      <color indexed="63"/>
      <name val="Arial"/>
      <family val="2"/>
    </font>
    <font>
      <sz val="11"/>
      <name val="Times New Roman"/>
      <family val="1"/>
    </font>
    <font>
      <b/>
      <sz val="18"/>
      <color indexed="62"/>
      <name val="Cambria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u/>
      <sz val="9.9"/>
      <color indexed="12"/>
      <name val="Calibri"/>
      <family val="2"/>
    </font>
    <font>
      <u/>
      <sz val="9.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Arial"/>
      <family val="2"/>
    </font>
    <font>
      <i/>
      <sz val="8"/>
      <name val="Arial"/>
      <family val="2"/>
    </font>
    <font>
      <b/>
      <sz val="12"/>
      <color indexed="30"/>
      <name val="Arial"/>
      <family val="2"/>
    </font>
    <font>
      <sz val="10"/>
      <color indexed="30"/>
      <name val="Arial"/>
      <family val="2"/>
    </font>
    <font>
      <b/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70C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E5F1"/>
        <bgColor indexed="64"/>
      </patternFill>
    </fill>
    <fill>
      <patternFill patternType="lightUp">
        <bgColor theme="0"/>
      </patternFill>
    </fill>
    <fill>
      <patternFill patternType="lightUp"/>
    </fill>
  </fills>
  <borders count="9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</borders>
  <cellStyleXfs count="82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1" applyNumberFormat="0" applyAlignment="0" applyProtection="0"/>
    <xf numFmtId="0" fontId="21" fillId="16" borderId="2" applyNumberFormat="0" applyAlignment="0" applyProtection="0"/>
    <xf numFmtId="44" fontId="1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17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7" borderId="0" applyNumberFormat="0" applyBorder="0" applyAlignment="0" applyProtection="0"/>
    <xf numFmtId="0" fontId="30" fillId="0" borderId="0"/>
    <xf numFmtId="0" fontId="12" fillId="0" borderId="0"/>
    <xf numFmtId="0" fontId="30" fillId="0" borderId="0"/>
    <xf numFmtId="0" fontId="16" fillId="0" borderId="0"/>
    <xf numFmtId="0" fontId="16" fillId="0" borderId="0"/>
    <xf numFmtId="0" fontId="16" fillId="0" borderId="0"/>
    <xf numFmtId="0" fontId="31" fillId="4" borderId="7" applyNumberFormat="0" applyFont="0" applyAlignment="0" applyProtection="0"/>
    <xf numFmtId="0" fontId="32" fillId="15" borderId="8" applyNumberFormat="0" applyAlignment="0" applyProtection="0"/>
    <xf numFmtId="0" fontId="33" fillId="18" borderId="0" applyNumberFormat="0" applyFont="0" applyBorder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0" applyNumberFormat="0" applyFill="0" applyBorder="0" applyAlignment="0" applyProtection="0"/>
    <xf numFmtId="43" fontId="44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4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12" fillId="0" borderId="0" applyFont="0" applyFill="0" applyBorder="0" applyAlignment="0" applyProtection="0"/>
    <xf numFmtId="0" fontId="5" fillId="0" borderId="0"/>
    <xf numFmtId="9" fontId="12" fillId="0" borderId="0" applyFont="0" applyFill="0" applyBorder="0" applyAlignment="0" applyProtection="0"/>
    <xf numFmtId="0" fontId="12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007">
    <xf numFmtId="0" fontId="0" fillId="0" borderId="0" xfId="0"/>
    <xf numFmtId="0" fontId="16" fillId="18" borderId="0" xfId="0" applyFont="1" applyFill="1"/>
    <xf numFmtId="0" fontId="16" fillId="18" borderId="0" xfId="0" applyFont="1" applyFill="1" applyBorder="1"/>
    <xf numFmtId="0" fontId="13" fillId="18" borderId="14" xfId="0" applyFont="1" applyFill="1" applyBorder="1"/>
    <xf numFmtId="0" fontId="13" fillId="18" borderId="19" xfId="0" applyFont="1" applyFill="1" applyBorder="1"/>
    <xf numFmtId="0" fontId="13" fillId="18" borderId="0" xfId="0" applyFont="1" applyFill="1"/>
    <xf numFmtId="0" fontId="16" fillId="20" borderId="0" xfId="0" applyFont="1" applyFill="1"/>
    <xf numFmtId="0" fontId="0" fillId="20" borderId="0" xfId="0" applyFill="1" applyBorder="1" applyAlignment="1" applyProtection="1">
      <alignment horizontal="center"/>
      <protection locked="0"/>
    </xf>
    <xf numFmtId="165" fontId="0" fillId="20" borderId="0" xfId="0" applyNumberFormat="1" applyFill="1" applyBorder="1" applyAlignment="1">
      <alignment horizontal="center"/>
    </xf>
    <xf numFmtId="0" fontId="0" fillId="20" borderId="0" xfId="0" applyFill="1" applyBorder="1"/>
    <xf numFmtId="0" fontId="0" fillId="20" borderId="0" xfId="0" applyFill="1" applyBorder="1" applyAlignment="1">
      <alignment wrapText="1"/>
    </xf>
    <xf numFmtId="0" fontId="16" fillId="20" borderId="0" xfId="0" applyFont="1" applyFill="1" applyBorder="1"/>
    <xf numFmtId="0" fontId="16" fillId="20" borderId="0" xfId="0" applyFont="1" applyFill="1" applyBorder="1" applyAlignment="1" applyProtection="1">
      <alignment horizontal="left" indent="3"/>
      <protection locked="0"/>
    </xf>
    <xf numFmtId="164" fontId="0" fillId="20" borderId="0" xfId="0" applyNumberFormat="1" applyFill="1" applyBorder="1" applyAlignment="1">
      <alignment horizontal="center"/>
    </xf>
    <xf numFmtId="0" fontId="14" fillId="20" borderId="0" xfId="0" applyFont="1" applyFill="1" applyBorder="1" applyAlignment="1" applyProtection="1">
      <alignment horizontal="center"/>
      <protection locked="0"/>
    </xf>
    <xf numFmtId="0" fontId="16" fillId="20" borderId="0" xfId="0" applyFont="1" applyFill="1" applyBorder="1" applyAlignment="1" applyProtection="1">
      <alignment horizontal="left"/>
      <protection locked="0"/>
    </xf>
    <xf numFmtId="169" fontId="0" fillId="20" borderId="0" xfId="0" applyNumberFormat="1" applyFill="1" applyBorder="1" applyAlignment="1" applyProtection="1">
      <alignment horizontal="center"/>
      <protection locked="0"/>
    </xf>
    <xf numFmtId="0" fontId="16" fillId="18" borderId="0" xfId="0" applyFont="1" applyFill="1" applyBorder="1" applyAlignment="1">
      <alignment horizontal="center"/>
    </xf>
    <xf numFmtId="0" fontId="42" fillId="20" borderId="0" xfId="0" applyFont="1" applyFill="1" applyBorder="1" applyAlignment="1">
      <alignment horizontal="right" wrapText="1"/>
    </xf>
    <xf numFmtId="0" fontId="42" fillId="20" borderId="0" xfId="0" applyFont="1" applyFill="1" applyBorder="1" applyAlignment="1">
      <alignment horizontal="center" wrapText="1"/>
    </xf>
    <xf numFmtId="0" fontId="16" fillId="20" borderId="0" xfId="0" applyFont="1" applyFill="1" applyBorder="1" applyAlignment="1">
      <alignment horizontal="center"/>
    </xf>
    <xf numFmtId="0" fontId="0" fillId="20" borderId="0" xfId="0" applyFill="1"/>
    <xf numFmtId="0" fontId="0" fillId="20" borderId="0" xfId="0" applyFill="1" applyAlignment="1">
      <alignment horizontal="center"/>
    </xf>
    <xf numFmtId="0" fontId="12" fillId="20" borderId="0" xfId="0" applyFont="1" applyFill="1" applyAlignment="1">
      <alignment horizontal="center"/>
    </xf>
    <xf numFmtId="0" fontId="12" fillId="20" borderId="0" xfId="0" applyFont="1" applyFill="1"/>
    <xf numFmtId="2" fontId="0" fillId="20" borderId="0" xfId="0" applyNumberFormat="1" applyFill="1" applyAlignment="1">
      <alignment horizontal="center"/>
    </xf>
    <xf numFmtId="0" fontId="0" fillId="20" borderId="0" xfId="0" applyFill="1" applyAlignment="1" applyProtection="1">
      <alignment horizontal="center"/>
      <protection locked="0"/>
    </xf>
    <xf numFmtId="0" fontId="12" fillId="20" borderId="0" xfId="0" applyFont="1" applyFill="1" applyProtection="1">
      <protection locked="0"/>
    </xf>
    <xf numFmtId="0" fontId="12" fillId="20" borderId="0" xfId="0" applyFont="1" applyFill="1" applyAlignment="1">
      <alignment horizontal="left"/>
    </xf>
    <xf numFmtId="0" fontId="12" fillId="20" borderId="0" xfId="0" applyFont="1" applyFill="1" applyAlignment="1" applyProtection="1">
      <alignment horizontal="center"/>
      <protection locked="0"/>
    </xf>
    <xf numFmtId="2" fontId="0" fillId="20" borderId="0" xfId="0" applyNumberFormat="1" applyFill="1" applyAlignment="1" applyProtection="1">
      <alignment horizontal="center"/>
      <protection locked="0"/>
    </xf>
    <xf numFmtId="0" fontId="0" fillId="20" borderId="0" xfId="0" applyFill="1" applyAlignment="1">
      <alignment wrapText="1"/>
    </xf>
    <xf numFmtId="170" fontId="0" fillId="20" borderId="0" xfId="0" applyNumberFormat="1" applyFill="1" applyAlignment="1">
      <alignment wrapText="1"/>
    </xf>
    <xf numFmtId="0" fontId="13" fillId="20" borderId="0" xfId="0" applyFont="1" applyFill="1" applyProtection="1">
      <protection locked="0"/>
    </xf>
    <xf numFmtId="165" fontId="13" fillId="20" borderId="0" xfId="0" applyNumberFormat="1" applyFont="1" applyFill="1" applyAlignment="1" applyProtection="1">
      <alignment horizontal="center"/>
      <protection locked="0"/>
    </xf>
    <xf numFmtId="165" fontId="0" fillId="20" borderId="0" xfId="0" applyNumberFormat="1" applyFill="1" applyAlignment="1" applyProtection="1">
      <alignment horizontal="center"/>
      <protection locked="0"/>
    </xf>
    <xf numFmtId="0" fontId="12" fillId="20" borderId="0" xfId="0" applyFont="1" applyFill="1" applyAlignment="1" applyProtection="1">
      <alignment horizontal="right"/>
      <protection locked="0"/>
    </xf>
    <xf numFmtId="165" fontId="0" fillId="20" borderId="0" xfId="0" applyNumberFormat="1" applyFill="1" applyAlignment="1">
      <alignment horizontal="center"/>
    </xf>
    <xf numFmtId="0" fontId="13" fillId="20" borderId="10" xfId="0" applyFont="1" applyFill="1" applyBorder="1" applyProtection="1">
      <protection locked="0"/>
    </xf>
    <xf numFmtId="0" fontId="13" fillId="20" borderId="10" xfId="0" applyFont="1" applyFill="1" applyBorder="1" applyAlignment="1" applyProtection="1">
      <alignment horizontal="center"/>
      <protection locked="0"/>
    </xf>
    <xf numFmtId="165" fontId="13" fillId="20" borderId="10" xfId="0" applyNumberFormat="1" applyFont="1" applyFill="1" applyBorder="1" applyAlignment="1" applyProtection="1">
      <alignment horizontal="center"/>
      <protection locked="0"/>
    </xf>
    <xf numFmtId="0" fontId="13" fillId="20" borderId="10" xfId="0" applyFont="1" applyFill="1" applyBorder="1" applyAlignment="1" applyProtection="1">
      <alignment horizontal="left"/>
      <protection locked="0"/>
    </xf>
    <xf numFmtId="0" fontId="0" fillId="20" borderId="10" xfId="0" applyFill="1" applyBorder="1" applyAlignment="1">
      <alignment horizontal="center"/>
    </xf>
    <xf numFmtId="169" fontId="0" fillId="20" borderId="0" xfId="0" applyNumberFormat="1" applyFill="1" applyAlignment="1" applyProtection="1">
      <alignment horizontal="center"/>
      <protection locked="0"/>
    </xf>
    <xf numFmtId="165" fontId="13" fillId="20" borderId="10" xfId="0" applyNumberFormat="1" applyFont="1" applyFill="1" applyBorder="1" applyAlignment="1">
      <alignment horizontal="center"/>
    </xf>
    <xf numFmtId="0" fontId="0" fillId="20" borderId="0" xfId="0" applyFill="1" applyProtection="1">
      <protection locked="0"/>
    </xf>
    <xf numFmtId="0" fontId="0" fillId="20" borderId="22" xfId="0" applyFill="1" applyBorder="1" applyAlignment="1">
      <alignment horizontal="center" vertical="center" wrapText="1"/>
    </xf>
    <xf numFmtId="0" fontId="0" fillId="20" borderId="11" xfId="0" applyFill="1" applyBorder="1" applyAlignment="1">
      <alignment horizontal="center" vertical="center" wrapText="1"/>
    </xf>
    <xf numFmtId="0" fontId="0" fillId="20" borderId="26" xfId="0" applyFill="1" applyBorder="1" applyAlignment="1">
      <alignment horizontal="center" vertical="center" wrapText="1"/>
    </xf>
    <xf numFmtId="0" fontId="0" fillId="20" borderId="17" xfId="0" applyFill="1" applyBorder="1"/>
    <xf numFmtId="165" fontId="0" fillId="20" borderId="24" xfId="0" applyNumberFormat="1" applyFill="1" applyBorder="1"/>
    <xf numFmtId="0" fontId="0" fillId="20" borderId="24" xfId="0" applyFill="1" applyBorder="1"/>
    <xf numFmtId="0" fontId="0" fillId="20" borderId="18" xfId="0" applyFill="1" applyBorder="1"/>
    <xf numFmtId="167" fontId="0" fillId="20" borderId="0" xfId="0" applyNumberFormat="1" applyFill="1" applyBorder="1"/>
    <xf numFmtId="166" fontId="0" fillId="20" borderId="24" xfId="0" applyNumberFormat="1" applyFill="1" applyBorder="1"/>
    <xf numFmtId="0" fontId="0" fillId="20" borderId="19" xfId="0" applyFill="1" applyBorder="1"/>
    <xf numFmtId="167" fontId="0" fillId="20" borderId="20" xfId="0" applyNumberFormat="1" applyFill="1" applyBorder="1"/>
    <xf numFmtId="165" fontId="0" fillId="20" borderId="25" xfId="0" applyNumberFormat="1" applyFill="1" applyBorder="1"/>
    <xf numFmtId="166" fontId="0" fillId="20" borderId="25" xfId="0" applyNumberFormat="1" applyFill="1" applyBorder="1"/>
    <xf numFmtId="0" fontId="0" fillId="20" borderId="21" xfId="0" applyFill="1" applyBorder="1"/>
    <xf numFmtId="165" fontId="0" fillId="20" borderId="0" xfId="0" applyNumberFormat="1" applyFill="1" applyBorder="1"/>
    <xf numFmtId="166" fontId="0" fillId="20" borderId="0" xfId="0" applyNumberFormat="1" applyFill="1" applyBorder="1"/>
    <xf numFmtId="0" fontId="0" fillId="20" borderId="14" xfId="0" applyFill="1" applyBorder="1" applyAlignment="1">
      <alignment horizontal="center"/>
    </xf>
    <xf numFmtId="0" fontId="0" fillId="20" borderId="15" xfId="0" applyFill="1" applyBorder="1" applyAlignment="1">
      <alignment horizontal="center"/>
    </xf>
    <xf numFmtId="165" fontId="0" fillId="20" borderId="16" xfId="0" applyNumberFormat="1" applyFill="1" applyBorder="1"/>
    <xf numFmtId="0" fontId="0" fillId="20" borderId="27" xfId="0" applyFill="1" applyBorder="1"/>
    <xf numFmtId="0" fontId="0" fillId="20" borderId="10" xfId="0" applyFill="1" applyBorder="1"/>
    <xf numFmtId="0" fontId="0" fillId="20" borderId="28" xfId="0" applyFill="1" applyBorder="1"/>
    <xf numFmtId="0" fontId="0" fillId="20" borderId="19" xfId="0" applyFill="1" applyBorder="1" applyAlignment="1">
      <alignment horizontal="center"/>
    </xf>
    <xf numFmtId="0" fontId="0" fillId="20" borderId="20" xfId="0" applyFill="1" applyBorder="1" applyAlignment="1">
      <alignment horizontal="center"/>
    </xf>
    <xf numFmtId="165" fontId="0" fillId="20" borderId="21" xfId="0" applyNumberFormat="1" applyFill="1" applyBorder="1"/>
    <xf numFmtId="0" fontId="13" fillId="20" borderId="13" xfId="0" applyFont="1" applyFill="1" applyBorder="1" applyAlignment="1">
      <alignment horizontal="left"/>
    </xf>
    <xf numFmtId="0" fontId="12" fillId="20" borderId="0" xfId="0" applyFont="1" applyFill="1" applyAlignment="1">
      <alignment horizontal="left" vertical="center"/>
    </xf>
    <xf numFmtId="0" fontId="16" fillId="20" borderId="0" xfId="43" applyFont="1" applyFill="1"/>
    <xf numFmtId="0" fontId="16" fillId="20" borderId="0" xfId="0" applyFont="1" applyFill="1" applyAlignment="1">
      <alignment horizontal="center"/>
    </xf>
    <xf numFmtId="0" fontId="38" fillId="20" borderId="0" xfId="35" applyFont="1" applyFill="1" applyAlignment="1" applyProtection="1"/>
    <xf numFmtId="0" fontId="16" fillId="20" borderId="0" xfId="44" applyFont="1" applyFill="1" applyBorder="1" applyAlignment="1">
      <alignment horizontal="left" vertical="center" wrapText="1"/>
    </xf>
    <xf numFmtId="0" fontId="39" fillId="20" borderId="0" xfId="0" applyFont="1" applyFill="1" applyBorder="1" applyAlignment="1">
      <alignment horizontal="right" wrapText="1"/>
    </xf>
    <xf numFmtId="0" fontId="40" fillId="20" borderId="0" xfId="0" applyFont="1" applyFill="1" applyBorder="1" applyAlignment="1">
      <alignment horizontal="center" wrapText="1"/>
    </xf>
    <xf numFmtId="0" fontId="16" fillId="20" borderId="23" xfId="0" applyFont="1" applyFill="1" applyBorder="1"/>
    <xf numFmtId="0" fontId="41" fillId="20" borderId="23" xfId="0" applyFont="1" applyFill="1" applyBorder="1" applyAlignment="1">
      <alignment horizontal="right" wrapText="1"/>
    </xf>
    <xf numFmtId="0" fontId="41" fillId="20" borderId="29" xfId="0" applyFont="1" applyFill="1" applyBorder="1" applyAlignment="1">
      <alignment horizontal="right" wrapText="1"/>
    </xf>
    <xf numFmtId="0" fontId="13" fillId="20" borderId="23" xfId="0" applyFont="1" applyFill="1" applyBorder="1"/>
    <xf numFmtId="2" fontId="13" fillId="20" borderId="29" xfId="0" applyNumberFormat="1" applyFont="1" applyFill="1" applyBorder="1"/>
    <xf numFmtId="2" fontId="13" fillId="20" borderId="0" xfId="0" applyNumberFormat="1" applyFont="1" applyFill="1" applyBorder="1"/>
    <xf numFmtId="0" fontId="0" fillId="20" borderId="15" xfId="0" applyFill="1" applyBorder="1"/>
    <xf numFmtId="0" fontId="12" fillId="20" borderId="17" xfId="0" applyFont="1" applyFill="1" applyBorder="1" applyAlignment="1" applyProtection="1">
      <alignment horizontal="left"/>
      <protection locked="0"/>
    </xf>
    <xf numFmtId="0" fontId="12" fillId="20" borderId="17" xfId="0" applyFont="1" applyFill="1" applyBorder="1" applyAlignment="1">
      <alignment horizontal="center"/>
    </xf>
    <xf numFmtId="0" fontId="12" fillId="20" borderId="17" xfId="0" applyFont="1" applyFill="1" applyBorder="1" applyAlignment="1">
      <alignment horizontal="left"/>
    </xf>
    <xf numFmtId="0" fontId="12" fillId="20" borderId="0" xfId="0" applyFont="1" applyFill="1" applyBorder="1"/>
    <xf numFmtId="0" fontId="12" fillId="20" borderId="19" xfId="0" applyFont="1" applyFill="1" applyBorder="1" applyAlignment="1">
      <alignment horizontal="center"/>
    </xf>
    <xf numFmtId="0" fontId="12" fillId="20" borderId="20" xfId="0" applyFont="1" applyFill="1" applyBorder="1"/>
    <xf numFmtId="0" fontId="12" fillId="19" borderId="16" xfId="0" applyFont="1" applyFill="1" applyBorder="1" applyAlignment="1">
      <alignment horizontal="center"/>
    </xf>
    <xf numFmtId="9" fontId="0" fillId="19" borderId="18" xfId="0" applyNumberFormat="1" applyFill="1" applyBorder="1" applyAlignment="1">
      <alignment horizontal="center"/>
    </xf>
    <xf numFmtId="0" fontId="0" fillId="19" borderId="18" xfId="0" applyFill="1" applyBorder="1"/>
    <xf numFmtId="0" fontId="0" fillId="19" borderId="18" xfId="0" applyFill="1" applyBorder="1" applyAlignment="1">
      <alignment horizontal="center"/>
    </xf>
    <xf numFmtId="164" fontId="0" fillId="19" borderId="21" xfId="0" applyNumberFormat="1" applyFill="1" applyBorder="1" applyAlignment="1">
      <alignment horizontal="center"/>
    </xf>
    <xf numFmtId="0" fontId="12" fillId="20" borderId="23" xfId="0" applyFont="1" applyFill="1" applyBorder="1"/>
    <xf numFmtId="0" fontId="12" fillId="20" borderId="23" xfId="0" applyFont="1" applyFill="1" applyBorder="1" applyAlignment="1">
      <alignment horizontal="center"/>
    </xf>
    <xf numFmtId="0" fontId="0" fillId="20" borderId="23" xfId="0" applyFill="1" applyBorder="1" applyAlignment="1">
      <alignment horizontal="center"/>
    </xf>
    <xf numFmtId="9" fontId="0" fillId="20" borderId="23" xfId="0" applyNumberFormat="1" applyFill="1" applyBorder="1" applyAlignment="1">
      <alignment horizontal="center"/>
    </xf>
    <xf numFmtId="0" fontId="12" fillId="20" borderId="23" xfId="0" applyFont="1" applyFill="1" applyBorder="1" applyProtection="1">
      <protection locked="0"/>
    </xf>
    <xf numFmtId="0" fontId="0" fillId="20" borderId="23" xfId="0" applyFill="1" applyBorder="1" applyAlignment="1" applyProtection="1">
      <alignment horizontal="center"/>
      <protection locked="0"/>
    </xf>
    <xf numFmtId="2" fontId="0" fillId="20" borderId="23" xfId="0" applyNumberFormat="1" applyFill="1" applyBorder="1" applyAlignment="1" applyProtection="1">
      <alignment horizontal="center"/>
      <protection locked="0"/>
    </xf>
    <xf numFmtId="10" fontId="0" fillId="20" borderId="23" xfId="0" applyNumberFormat="1" applyFill="1" applyBorder="1" applyAlignment="1" applyProtection="1">
      <alignment horizontal="center"/>
      <protection locked="0"/>
    </xf>
    <xf numFmtId="0" fontId="12" fillId="20" borderId="23" xfId="0" applyFont="1" applyFill="1" applyBorder="1" applyAlignment="1" applyProtection="1">
      <alignment horizontal="center"/>
      <protection locked="0"/>
    </xf>
    <xf numFmtId="166" fontId="0" fillId="20" borderId="23" xfId="0" applyNumberFormat="1" applyFill="1" applyBorder="1" applyAlignment="1" applyProtection="1">
      <alignment horizontal="center"/>
      <protection locked="0"/>
    </xf>
    <xf numFmtId="171" fontId="0" fillId="20" borderId="23" xfId="0" applyNumberFormat="1" applyFill="1" applyBorder="1" applyAlignment="1" applyProtection="1">
      <alignment horizontal="center"/>
      <protection locked="0"/>
    </xf>
    <xf numFmtId="0" fontId="13" fillId="20" borderId="13" xfId="0" applyFont="1" applyFill="1" applyBorder="1" applyProtection="1">
      <protection locked="0"/>
    </xf>
    <xf numFmtId="0" fontId="13" fillId="20" borderId="13" xfId="0" applyFont="1" applyFill="1" applyBorder="1" applyAlignment="1" applyProtection="1">
      <alignment horizontal="center"/>
      <protection locked="0"/>
    </xf>
    <xf numFmtId="2" fontId="13" fillId="20" borderId="13" xfId="0" applyNumberFormat="1" applyFont="1" applyFill="1" applyBorder="1" applyAlignment="1" applyProtection="1">
      <alignment horizontal="center"/>
      <protection locked="0"/>
    </xf>
    <xf numFmtId="0" fontId="13" fillId="20" borderId="13" xfId="0" applyFont="1" applyFill="1" applyBorder="1" applyAlignment="1">
      <alignment horizontal="center"/>
    </xf>
    <xf numFmtId="0" fontId="13" fillId="20" borderId="22" xfId="0" applyFont="1" applyFill="1" applyBorder="1" applyProtection="1">
      <protection locked="0"/>
    </xf>
    <xf numFmtId="0" fontId="13" fillId="20" borderId="11" xfId="0" applyFont="1" applyFill="1" applyBorder="1" applyAlignment="1" applyProtection="1">
      <alignment horizontal="center"/>
      <protection locked="0"/>
    </xf>
    <xf numFmtId="165" fontId="13" fillId="20" borderId="12" xfId="0" applyNumberFormat="1" applyFont="1" applyFill="1" applyBorder="1" applyAlignment="1" applyProtection="1">
      <alignment horizontal="center"/>
      <protection locked="0"/>
    </xf>
    <xf numFmtId="0" fontId="0" fillId="20" borderId="10" xfId="0" applyFill="1" applyBorder="1" applyAlignment="1" applyProtection="1">
      <alignment horizontal="center"/>
      <protection locked="0"/>
    </xf>
    <xf numFmtId="0" fontId="12" fillId="20" borderId="10" xfId="0" applyFont="1" applyFill="1" applyBorder="1" applyAlignment="1" applyProtection="1">
      <alignment horizontal="center"/>
      <protection locked="0"/>
    </xf>
    <xf numFmtId="165" fontId="12" fillId="20" borderId="10" xfId="0" applyNumberFormat="1" applyFont="1" applyFill="1" applyBorder="1" applyAlignment="1" applyProtection="1">
      <alignment horizontal="center"/>
      <protection locked="0"/>
    </xf>
    <xf numFmtId="0" fontId="12" fillId="20" borderId="13" xfId="0" applyFont="1" applyFill="1" applyBorder="1" applyAlignment="1" applyProtection="1">
      <alignment horizontal="center"/>
      <protection locked="0"/>
    </xf>
    <xf numFmtId="165" fontId="0" fillId="20" borderId="13" xfId="0" applyNumberFormat="1" applyFill="1" applyBorder="1" applyAlignment="1" applyProtection="1">
      <alignment horizontal="center"/>
      <protection locked="0"/>
    </xf>
    <xf numFmtId="0" fontId="0" fillId="20" borderId="13" xfId="0" applyFill="1" applyBorder="1" applyAlignment="1" applyProtection="1">
      <alignment horizontal="center"/>
      <protection locked="0"/>
    </xf>
    <xf numFmtId="0" fontId="0" fillId="20" borderId="13" xfId="0" applyFill="1" applyBorder="1" applyAlignment="1">
      <alignment horizontal="center"/>
    </xf>
    <xf numFmtId="0" fontId="0" fillId="20" borderId="26" xfId="0" applyFill="1" applyBorder="1" applyAlignment="1">
      <alignment horizontal="center" vertical="center" wrapText="1"/>
    </xf>
    <xf numFmtId="4" fontId="0" fillId="20" borderId="0" xfId="0" applyNumberFormat="1" applyFill="1" applyAlignment="1">
      <alignment wrapText="1"/>
    </xf>
    <xf numFmtId="164" fontId="0" fillId="20" borderId="0" xfId="0" applyNumberFormat="1" applyFill="1" applyAlignment="1">
      <alignment wrapText="1"/>
    </xf>
    <xf numFmtId="0" fontId="12" fillId="20" borderId="0" xfId="0" applyFont="1" applyFill="1" applyBorder="1" applyProtection="1">
      <protection locked="0"/>
    </xf>
    <xf numFmtId="0" fontId="12" fillId="20" borderId="0" xfId="0" applyFont="1" applyFill="1" applyBorder="1" applyAlignment="1" applyProtection="1">
      <alignment horizontal="center"/>
      <protection locked="0"/>
    </xf>
    <xf numFmtId="166" fontId="0" fillId="20" borderId="0" xfId="0" applyNumberFormat="1" applyFill="1" applyBorder="1" applyAlignment="1" applyProtection="1">
      <alignment horizontal="center"/>
      <protection locked="0"/>
    </xf>
    <xf numFmtId="173" fontId="0" fillId="20" borderId="0" xfId="0" applyNumberFormat="1" applyFill="1" applyAlignment="1">
      <alignment wrapText="1"/>
    </xf>
    <xf numFmtId="0" fontId="16" fillId="20" borderId="0" xfId="44" applyFont="1" applyFill="1" applyBorder="1" applyAlignment="1">
      <alignment horizontal="left" vertical="center" wrapText="1"/>
    </xf>
    <xf numFmtId="0" fontId="0" fillId="20" borderId="26" xfId="0" applyFill="1" applyBorder="1" applyAlignment="1">
      <alignment horizontal="center" vertical="center" wrapText="1"/>
    </xf>
    <xf numFmtId="0" fontId="0" fillId="20" borderId="12" xfId="0" applyFill="1" applyBorder="1" applyAlignment="1">
      <alignment horizontal="center" vertical="center" wrapText="1"/>
    </xf>
    <xf numFmtId="0" fontId="13" fillId="20" borderId="13" xfId="0" applyFont="1" applyFill="1" applyBorder="1" applyAlignment="1">
      <alignment horizontal="left"/>
    </xf>
    <xf numFmtId="164" fontId="0" fillId="20" borderId="0" xfId="0" applyNumberFormat="1" applyFill="1" applyAlignment="1" applyProtection="1">
      <alignment horizontal="center"/>
      <protection locked="0"/>
    </xf>
    <xf numFmtId="0" fontId="0" fillId="19" borderId="0" xfId="0" applyFill="1"/>
    <xf numFmtId="173" fontId="0" fillId="19" borderId="18" xfId="0" applyNumberFormat="1" applyFill="1" applyBorder="1" applyAlignment="1">
      <alignment horizontal="center"/>
    </xf>
    <xf numFmtId="172" fontId="0" fillId="20" borderId="0" xfId="0" applyNumberFormat="1" applyFill="1" applyAlignment="1">
      <alignment wrapText="1"/>
    </xf>
    <xf numFmtId="0" fontId="12" fillId="20" borderId="0" xfId="0" applyFont="1" applyFill="1" applyAlignment="1" applyProtection="1">
      <alignment horizontal="left" vertical="center" wrapText="1"/>
      <protection locked="0"/>
    </xf>
    <xf numFmtId="0" fontId="16" fillId="18" borderId="17" xfId="0" applyFont="1" applyFill="1" applyBorder="1" applyAlignment="1">
      <alignment horizontal="center"/>
    </xf>
    <xf numFmtId="168" fontId="13" fillId="20" borderId="12" xfId="28" applyNumberFormat="1" applyFont="1" applyFill="1" applyBorder="1" applyAlignment="1" applyProtection="1">
      <alignment horizontal="center" vertical="center"/>
      <protection locked="0"/>
    </xf>
    <xf numFmtId="168" fontId="13" fillId="18" borderId="16" xfId="28" applyNumberFormat="1" applyFont="1" applyFill="1" applyBorder="1" applyAlignment="1">
      <alignment horizontal="center" vertical="center"/>
    </xf>
    <xf numFmtId="168" fontId="13" fillId="18" borderId="21" xfId="28" applyNumberFormat="1" applyFont="1" applyFill="1" applyBorder="1" applyAlignment="1">
      <alignment horizontal="center" vertical="center"/>
    </xf>
    <xf numFmtId="0" fontId="13" fillId="20" borderId="11" xfId="0" applyFont="1" applyFill="1" applyBorder="1" applyAlignment="1" applyProtection="1">
      <alignment horizontal="right"/>
      <protection locked="0"/>
    </xf>
    <xf numFmtId="6" fontId="13" fillId="18" borderId="15" xfId="0" applyNumberFormat="1" applyFont="1" applyFill="1" applyBorder="1" applyAlignment="1">
      <alignment horizontal="right"/>
    </xf>
    <xf numFmtId="6" fontId="13" fillId="18" borderId="20" xfId="0" applyNumberFormat="1" applyFont="1" applyFill="1" applyBorder="1" applyAlignment="1">
      <alignment horizontal="right"/>
    </xf>
    <xf numFmtId="0" fontId="12" fillId="19" borderId="16" xfId="0" applyFont="1" applyFill="1" applyBorder="1" applyAlignment="1">
      <alignment horizontal="center" wrapText="1"/>
    </xf>
    <xf numFmtId="9" fontId="0" fillId="19" borderId="18" xfId="0" applyNumberFormat="1" applyFill="1" applyBorder="1" applyAlignment="1" applyProtection="1">
      <alignment horizontal="center"/>
      <protection locked="0"/>
    </xf>
    <xf numFmtId="9" fontId="0" fillId="19" borderId="18" xfId="0" applyNumberFormat="1" applyFill="1" applyBorder="1" applyAlignment="1">
      <alignment horizontal="center" wrapText="1"/>
    </xf>
    <xf numFmtId="0" fontId="0" fillId="19" borderId="18" xfId="0" applyFill="1" applyBorder="1" applyAlignment="1">
      <alignment horizontal="center" wrapText="1"/>
    </xf>
    <xf numFmtId="164" fontId="0" fillId="19" borderId="21" xfId="0" applyNumberFormat="1" applyFill="1" applyBorder="1" applyAlignment="1">
      <alignment horizontal="center" wrapText="1"/>
    </xf>
    <xf numFmtId="0" fontId="12" fillId="20" borderId="17" xfId="0" applyFont="1" applyFill="1" applyBorder="1" applyAlignment="1" applyProtection="1">
      <protection locked="0"/>
    </xf>
    <xf numFmtId="0" fontId="12" fillId="20" borderId="17" xfId="0" applyFont="1" applyFill="1" applyBorder="1" applyAlignment="1"/>
    <xf numFmtId="0" fontId="12" fillId="20" borderId="19" xfId="0" applyFont="1" applyFill="1" applyBorder="1" applyAlignment="1"/>
    <xf numFmtId="0" fontId="12" fillId="20" borderId="0" xfId="0" applyFont="1" applyFill="1" applyAlignment="1">
      <alignment wrapText="1"/>
    </xf>
    <xf numFmtId="44" fontId="0" fillId="20" borderId="0" xfId="28" applyFont="1" applyFill="1"/>
    <xf numFmtId="0" fontId="13" fillId="20" borderId="0" xfId="0" applyFont="1" applyFill="1"/>
    <xf numFmtId="0" fontId="12" fillId="20" borderId="0" xfId="0" applyFont="1" applyFill="1" applyAlignment="1" applyProtection="1">
      <alignment horizontal="left"/>
      <protection locked="0"/>
    </xf>
    <xf numFmtId="174" fontId="16" fillId="20" borderId="0" xfId="28" applyNumberFormat="1" applyFont="1" applyFill="1"/>
    <xf numFmtId="175" fontId="0" fillId="20" borderId="0" xfId="0" applyNumberFormat="1" applyFill="1" applyAlignment="1" applyProtection="1">
      <alignment horizontal="center"/>
      <protection locked="0"/>
    </xf>
    <xf numFmtId="3" fontId="0" fillId="20" borderId="0" xfId="0" applyNumberFormat="1" applyFill="1" applyAlignment="1">
      <alignment wrapText="1"/>
    </xf>
    <xf numFmtId="0" fontId="0" fillId="20" borderId="0" xfId="0" applyNumberFormat="1" applyFill="1" applyAlignment="1">
      <alignment wrapText="1"/>
    </xf>
    <xf numFmtId="2" fontId="0" fillId="20" borderId="0" xfId="0" applyNumberFormat="1" applyFill="1"/>
    <xf numFmtId="171" fontId="0" fillId="20" borderId="0" xfId="0" applyNumberFormat="1" applyFill="1"/>
    <xf numFmtId="0" fontId="12" fillId="20" borderId="29" xfId="0" applyFont="1" applyFill="1" applyBorder="1"/>
    <xf numFmtId="2" fontId="0" fillId="20" borderId="30" xfId="0" applyNumberFormat="1" applyFill="1" applyBorder="1"/>
    <xf numFmtId="1" fontId="0" fillId="20" borderId="0" xfId="0" applyNumberFormat="1" applyFill="1"/>
    <xf numFmtId="0" fontId="12" fillId="20" borderId="29" xfId="0" applyFont="1" applyFill="1" applyBorder="1" applyAlignment="1">
      <alignment horizontal="center"/>
    </xf>
    <xf numFmtId="1" fontId="0" fillId="20" borderId="30" xfId="0" applyNumberFormat="1" applyFill="1" applyBorder="1"/>
    <xf numFmtId="0" fontId="0" fillId="19" borderId="23" xfId="0" applyFill="1" applyBorder="1"/>
    <xf numFmtId="0" fontId="0" fillId="19" borderId="0" xfId="0" applyFill="1" applyBorder="1"/>
    <xf numFmtId="0" fontId="0" fillId="19" borderId="23" xfId="0" applyFill="1" applyBorder="1" applyAlignment="1">
      <alignment horizontal="center"/>
    </xf>
    <xf numFmtId="0" fontId="0" fillId="20" borderId="26" xfId="0" applyFill="1" applyBorder="1" applyAlignment="1">
      <alignment horizontal="center" vertical="center" wrapText="1"/>
    </xf>
    <xf numFmtId="0" fontId="0" fillId="20" borderId="12" xfId="0" applyFill="1" applyBorder="1" applyAlignment="1">
      <alignment horizontal="center" vertical="center" wrapText="1"/>
    </xf>
    <xf numFmtId="171" fontId="0" fillId="19" borderId="0" xfId="0" applyNumberFormat="1" applyFill="1"/>
    <xf numFmtId="0" fontId="12" fillId="20" borderId="31" xfId="0" applyFont="1" applyFill="1" applyBorder="1"/>
    <xf numFmtId="0" fontId="12" fillId="20" borderId="31" xfId="0" applyFont="1" applyFill="1" applyBorder="1" applyAlignment="1">
      <alignment horizontal="center"/>
    </xf>
    <xf numFmtId="0" fontId="12" fillId="20" borderId="32" xfId="0" applyFont="1" applyFill="1" applyBorder="1" applyProtection="1">
      <protection locked="0"/>
    </xf>
    <xf numFmtId="0" fontId="12" fillId="20" borderId="32" xfId="0" applyFont="1" applyFill="1" applyBorder="1" applyAlignment="1" applyProtection="1">
      <alignment horizontal="center"/>
      <protection locked="0"/>
    </xf>
    <xf numFmtId="2" fontId="0" fillId="20" borderId="32" xfId="0" applyNumberFormat="1" applyFill="1" applyBorder="1" applyAlignment="1" applyProtection="1">
      <alignment horizontal="center"/>
      <protection locked="0"/>
    </xf>
    <xf numFmtId="0" fontId="0" fillId="20" borderId="32" xfId="0" applyFill="1" applyBorder="1" applyAlignment="1" applyProtection="1">
      <alignment horizontal="center"/>
      <protection locked="0"/>
    </xf>
    <xf numFmtId="0" fontId="12" fillId="20" borderId="32" xfId="0" applyFont="1" applyFill="1" applyBorder="1" applyAlignment="1">
      <alignment horizontal="center"/>
    </xf>
    <xf numFmtId="0" fontId="0" fillId="20" borderId="32" xfId="0" applyFill="1" applyBorder="1"/>
    <xf numFmtId="0" fontId="0" fillId="20" borderId="32" xfId="0" applyFill="1" applyBorder="1" applyAlignment="1">
      <alignment wrapText="1"/>
    </xf>
    <xf numFmtId="164" fontId="0" fillId="20" borderId="21" xfId="0" applyNumberFormat="1" applyFill="1" applyBorder="1" applyAlignment="1">
      <alignment horizontal="center"/>
    </xf>
    <xf numFmtId="4" fontId="0" fillId="20" borderId="0" xfId="0" applyNumberFormat="1" applyFill="1" applyAlignment="1" applyProtection="1">
      <alignment horizontal="right"/>
      <protection locked="0"/>
    </xf>
    <xf numFmtId="3" fontId="0" fillId="20" borderId="0" xfId="51" applyNumberFormat="1" applyFont="1" applyFill="1" applyAlignment="1" applyProtection="1">
      <alignment horizontal="right"/>
      <protection locked="0"/>
    </xf>
    <xf numFmtId="3" fontId="0" fillId="20" borderId="0" xfId="0" applyNumberFormat="1" applyFill="1" applyAlignment="1" applyProtection="1">
      <alignment horizontal="right"/>
      <protection locked="0"/>
    </xf>
    <xf numFmtId="0" fontId="0" fillId="0" borderId="23" xfId="0" applyBorder="1"/>
    <xf numFmtId="2" fontId="0" fillId="19" borderId="23" xfId="0" applyNumberFormat="1" applyFill="1" applyBorder="1" applyAlignment="1" applyProtection="1">
      <alignment horizontal="center"/>
      <protection locked="0"/>
    </xf>
    <xf numFmtId="0" fontId="13" fillId="20" borderId="0" xfId="0" applyFont="1" applyFill="1" applyBorder="1" applyAlignment="1">
      <alignment horizontal="left"/>
    </xf>
    <xf numFmtId="0" fontId="13" fillId="20" borderId="17" xfId="0" applyFont="1" applyFill="1" applyBorder="1" applyAlignment="1">
      <alignment horizontal="left"/>
    </xf>
    <xf numFmtId="0" fontId="46" fillId="20" borderId="32" xfId="0" applyFont="1" applyFill="1" applyBorder="1"/>
    <xf numFmtId="0" fontId="0" fillId="20" borderId="32" xfId="0" applyFill="1" applyBorder="1" applyAlignment="1">
      <alignment horizontal="center"/>
    </xf>
    <xf numFmtId="0" fontId="46" fillId="20" borderId="32" xfId="0" applyFont="1" applyFill="1" applyBorder="1" applyProtection="1">
      <protection locked="0"/>
    </xf>
    <xf numFmtId="0" fontId="12" fillId="20" borderId="33" xfId="0" applyFont="1" applyFill="1" applyBorder="1" applyAlignment="1" applyProtection="1">
      <alignment horizontal="center"/>
      <protection locked="0"/>
    </xf>
    <xf numFmtId="2" fontId="0" fillId="20" borderId="33" xfId="0" applyNumberFormat="1" applyFill="1" applyBorder="1" applyAlignment="1" applyProtection="1">
      <alignment horizontal="center"/>
      <protection locked="0"/>
    </xf>
    <xf numFmtId="0" fontId="13" fillId="20" borderId="33" xfId="0" applyFont="1" applyFill="1" applyBorder="1" applyProtection="1">
      <protection locked="0"/>
    </xf>
    <xf numFmtId="0" fontId="47" fillId="20" borderId="0" xfId="0" applyFont="1" applyFill="1" applyProtection="1">
      <protection locked="0"/>
    </xf>
    <xf numFmtId="164" fontId="0" fillId="20" borderId="23" xfId="0" applyNumberFormat="1" applyFill="1" applyBorder="1" applyAlignment="1">
      <alignment wrapText="1"/>
    </xf>
    <xf numFmtId="0" fontId="13" fillId="20" borderId="0" xfId="0" applyFont="1" applyFill="1" applyAlignment="1">
      <alignment horizontal="left"/>
    </xf>
    <xf numFmtId="0" fontId="12" fillId="20" borderId="23" xfId="0" applyFont="1" applyFill="1" applyBorder="1" applyAlignment="1">
      <alignment horizontal="left"/>
    </xf>
    <xf numFmtId="3" fontId="0" fillId="20" borderId="23" xfId="51" applyNumberFormat="1" applyFont="1" applyFill="1" applyBorder="1" applyAlignment="1" applyProtection="1">
      <alignment horizontal="right"/>
      <protection locked="0"/>
    </xf>
    <xf numFmtId="4" fontId="0" fillId="20" borderId="23" xfId="0" applyNumberFormat="1" applyFill="1" applyBorder="1" applyAlignment="1" applyProtection="1">
      <alignment horizontal="right"/>
      <protection locked="0"/>
    </xf>
    <xf numFmtId="3" fontId="0" fillId="20" borderId="23" xfId="0" applyNumberFormat="1" applyFill="1" applyBorder="1" applyAlignment="1" applyProtection="1">
      <alignment horizontal="right"/>
      <protection locked="0"/>
    </xf>
    <xf numFmtId="0" fontId="0" fillId="20" borderId="23" xfId="0" applyFill="1" applyBorder="1"/>
    <xf numFmtId="0" fontId="12" fillId="19" borderId="23" xfId="0" applyFont="1" applyFill="1" applyBorder="1" applyAlignment="1">
      <alignment horizontal="center"/>
    </xf>
    <xf numFmtId="0" fontId="12" fillId="20" borderId="23" xfId="0" applyFont="1" applyFill="1" applyBorder="1" applyAlignment="1" applyProtection="1">
      <alignment horizontal="left"/>
      <protection locked="0"/>
    </xf>
    <xf numFmtId="9" fontId="0" fillId="19" borderId="23" xfId="0" applyNumberFormat="1" applyFill="1" applyBorder="1" applyAlignment="1">
      <alignment horizontal="center"/>
    </xf>
    <xf numFmtId="164" fontId="0" fillId="20" borderId="23" xfId="0" applyNumberFormat="1" applyFill="1" applyBorder="1" applyAlignment="1">
      <alignment horizontal="center"/>
    </xf>
    <xf numFmtId="0" fontId="12" fillId="20" borderId="23" xfId="0" applyFont="1" applyFill="1" applyBorder="1" applyAlignment="1" applyProtection="1">
      <alignment horizontal="left" indent="1"/>
      <protection locked="0"/>
    </xf>
    <xf numFmtId="0" fontId="12" fillId="20" borderId="23" xfId="0" applyFont="1" applyFill="1" applyBorder="1" applyAlignment="1">
      <alignment horizontal="left" indent="1"/>
    </xf>
    <xf numFmtId="0" fontId="12" fillId="20" borderId="0" xfId="0" applyFont="1" applyFill="1" applyAlignment="1">
      <alignment horizontal="left" indent="1"/>
    </xf>
    <xf numFmtId="2" fontId="13" fillId="20" borderId="23" xfId="0" applyNumberFormat="1" applyFont="1" applyFill="1" applyBorder="1"/>
    <xf numFmtId="171" fontId="0" fillId="20" borderId="23" xfId="0" applyNumberFormat="1" applyFill="1" applyBorder="1" applyAlignment="1">
      <alignment horizontal="center"/>
    </xf>
    <xf numFmtId="0" fontId="48" fillId="0" borderId="0" xfId="52" applyFont="1"/>
    <xf numFmtId="0" fontId="11" fillId="0" borderId="0" xfId="52"/>
    <xf numFmtId="0" fontId="11" fillId="21" borderId="23" xfId="52" applyFill="1" applyBorder="1"/>
    <xf numFmtId="0" fontId="48" fillId="0" borderId="0" xfId="52" applyFont="1" applyFill="1" applyBorder="1" applyAlignment="1"/>
    <xf numFmtId="4" fontId="11" fillId="22" borderId="35" xfId="52" applyNumberFormat="1" applyFill="1" applyBorder="1" applyAlignment="1">
      <alignment horizontal="center" vertical="center" wrapText="1"/>
    </xf>
    <xf numFmtId="0" fontId="11" fillId="22" borderId="35" xfId="52" applyFill="1" applyBorder="1" applyAlignment="1">
      <alignment horizontal="center" vertical="center" wrapText="1"/>
    </xf>
    <xf numFmtId="0" fontId="11" fillId="22" borderId="23" xfId="52" applyFill="1" applyBorder="1" applyAlignment="1">
      <alignment horizontal="center" vertical="center" wrapText="1"/>
    </xf>
    <xf numFmtId="0" fontId="11" fillId="0" borderId="23" xfId="52" applyBorder="1" applyAlignment="1">
      <alignment horizontal="right"/>
    </xf>
    <xf numFmtId="171" fontId="11" fillId="0" borderId="23" xfId="52" applyNumberFormat="1" applyBorder="1" applyAlignment="1">
      <alignment horizontal="center"/>
    </xf>
    <xf numFmtId="0" fontId="11" fillId="0" borderId="23" xfId="52" applyBorder="1"/>
    <xf numFmtId="4" fontId="11" fillId="0" borderId="23" xfId="52" applyNumberFormat="1" applyFill="1" applyBorder="1" applyAlignment="1">
      <alignment horizontal="center"/>
    </xf>
    <xf numFmtId="9" fontId="0" fillId="0" borderId="23" xfId="53" applyFont="1" applyFill="1" applyBorder="1" applyAlignment="1">
      <alignment horizontal="center"/>
    </xf>
    <xf numFmtId="4" fontId="11" fillId="21" borderId="23" xfId="52" applyNumberFormat="1" applyFill="1" applyBorder="1" applyAlignment="1">
      <alignment horizontal="center"/>
    </xf>
    <xf numFmtId="0" fontId="11" fillId="21" borderId="23" xfId="52" applyFill="1" applyBorder="1" applyAlignment="1">
      <alignment horizontal="center"/>
    </xf>
    <xf numFmtId="0" fontId="11" fillId="0" borderId="30" xfId="52" applyBorder="1" applyAlignment="1">
      <alignment horizontal="center"/>
    </xf>
    <xf numFmtId="0" fontId="11" fillId="0" borderId="23" xfId="52" applyFill="1" applyBorder="1"/>
    <xf numFmtId="177" fontId="11" fillId="0" borderId="23" xfId="52" applyNumberFormat="1" applyBorder="1" applyAlignment="1">
      <alignment horizontal="center"/>
    </xf>
    <xf numFmtId="169" fontId="11" fillId="0" borderId="23" xfId="52" applyNumberFormat="1" applyBorder="1" applyAlignment="1">
      <alignment horizontal="center"/>
    </xf>
    <xf numFmtId="0" fontId="15" fillId="0" borderId="0" xfId="40" applyFont="1" applyFill="1" applyBorder="1" applyAlignment="1">
      <alignment horizontal="left"/>
    </xf>
    <xf numFmtId="0" fontId="48" fillId="22" borderId="23" xfId="52" applyFont="1" applyFill="1" applyBorder="1" applyAlignment="1">
      <alignment horizontal="center" vertical="center"/>
    </xf>
    <xf numFmtId="0" fontId="11" fillId="22" borderId="23" xfId="52" applyFont="1" applyFill="1" applyBorder="1" applyAlignment="1">
      <alignment horizontal="left" vertical="center"/>
    </xf>
    <xf numFmtId="0" fontId="11" fillId="22" borderId="23" xfId="52" applyFill="1" applyBorder="1" applyAlignment="1">
      <alignment horizontal="center"/>
    </xf>
    <xf numFmtId="0" fontId="11" fillId="0" borderId="23" xfId="52" applyFont="1" applyBorder="1" applyAlignment="1">
      <alignment horizontal="right"/>
    </xf>
    <xf numFmtId="0" fontId="11" fillId="0" borderId="23" xfId="52" applyFill="1" applyBorder="1" applyAlignment="1">
      <alignment horizontal="center"/>
    </xf>
    <xf numFmtId="3" fontId="0" fillId="0" borderId="23" xfId="54" applyNumberFormat="1" applyFont="1" applyBorder="1" applyAlignment="1">
      <alignment horizontal="center"/>
    </xf>
    <xf numFmtId="3" fontId="0" fillId="21" borderId="23" xfId="54" applyNumberFormat="1" applyFont="1" applyFill="1" applyBorder="1" applyAlignment="1">
      <alignment horizontal="center"/>
    </xf>
    <xf numFmtId="0" fontId="11" fillId="21" borderId="23" xfId="52" applyFill="1" applyBorder="1" applyAlignment="1">
      <alignment horizontal="center" vertical="center"/>
    </xf>
    <xf numFmtId="172" fontId="0" fillId="21" borderId="23" xfId="54" applyNumberFormat="1" applyFont="1" applyFill="1" applyBorder="1" applyAlignment="1">
      <alignment horizontal="center"/>
    </xf>
    <xf numFmtId="3" fontId="0" fillId="0" borderId="23" xfId="54" applyNumberFormat="1" applyFont="1" applyFill="1" applyBorder="1" applyAlignment="1">
      <alignment horizontal="center"/>
    </xf>
    <xf numFmtId="173" fontId="0" fillId="21" borderId="23" xfId="53" applyNumberFormat="1" applyFont="1" applyFill="1" applyBorder="1" applyAlignment="1">
      <alignment horizontal="center"/>
    </xf>
    <xf numFmtId="0" fontId="11" fillId="22" borderId="23" xfId="52" applyFill="1" applyBorder="1" applyAlignment="1">
      <alignment horizontal="left"/>
    </xf>
    <xf numFmtId="4" fontId="11" fillId="0" borderId="23" xfId="52" applyNumberFormat="1" applyBorder="1" applyAlignment="1">
      <alignment horizontal="center"/>
    </xf>
    <xf numFmtId="0" fontId="12" fillId="0" borderId="23" xfId="55" applyBorder="1"/>
    <xf numFmtId="0" fontId="12" fillId="0" borderId="23" xfId="55" applyFill="1" applyBorder="1"/>
    <xf numFmtId="0" fontId="12" fillId="0" borderId="23" xfId="55" applyFont="1" applyFill="1" applyBorder="1"/>
    <xf numFmtId="177" fontId="0" fillId="0" borderId="23" xfId="54" applyNumberFormat="1" applyFont="1" applyFill="1" applyBorder="1" applyAlignment="1">
      <alignment horizontal="center"/>
    </xf>
    <xf numFmtId="0" fontId="12" fillId="0" borderId="23" xfId="56" applyBorder="1"/>
    <xf numFmtId="0" fontId="12" fillId="0" borderId="23" xfId="56" applyFont="1" applyBorder="1"/>
    <xf numFmtId="0" fontId="11" fillId="22" borderId="23" xfId="52" applyFill="1" applyBorder="1"/>
    <xf numFmtId="0" fontId="11" fillId="0" borderId="23" xfId="52" applyFill="1" applyBorder="1" applyAlignment="1">
      <alignment horizontal="right"/>
    </xf>
    <xf numFmtId="0" fontId="11" fillId="0" borderId="23" xfId="52" quotePrefix="1" applyFill="1" applyBorder="1" applyAlignment="1">
      <alignment horizontal="center"/>
    </xf>
    <xf numFmtId="9" fontId="11" fillId="0" borderId="23" xfId="52" applyNumberFormat="1" applyFill="1" applyBorder="1" applyAlignment="1">
      <alignment horizontal="center"/>
    </xf>
    <xf numFmtId="2" fontId="11" fillId="21" borderId="23" xfId="52" applyNumberFormat="1" applyFill="1" applyBorder="1" applyAlignment="1">
      <alignment horizontal="center" vertical="center"/>
    </xf>
    <xf numFmtId="0" fontId="50" fillId="0" borderId="36" xfId="40" applyFont="1" applyFill="1" applyBorder="1" applyAlignment="1">
      <alignment horizontal="center"/>
    </xf>
    <xf numFmtId="0" fontId="50" fillId="0" borderId="37" xfId="40" applyFont="1" applyFill="1" applyBorder="1" applyAlignment="1">
      <alignment horizontal="center"/>
    </xf>
    <xf numFmtId="0" fontId="50" fillId="0" borderId="38" xfId="40" applyFont="1" applyFill="1" applyBorder="1" applyAlignment="1">
      <alignment horizontal="center"/>
    </xf>
    <xf numFmtId="0" fontId="15" fillId="0" borderId="27" xfId="40" applyFont="1" applyFill="1" applyBorder="1" applyAlignment="1">
      <alignment horizontal="right"/>
    </xf>
    <xf numFmtId="166" fontId="15" fillId="0" borderId="23" xfId="40" applyNumberFormat="1" applyFont="1" applyFill="1" applyBorder="1" applyAlignment="1">
      <alignment horizontal="center"/>
    </xf>
    <xf numFmtId="166" fontId="15" fillId="0" borderId="39" xfId="40" applyNumberFormat="1" applyFont="1" applyFill="1" applyBorder="1" applyAlignment="1">
      <alignment horizontal="center"/>
    </xf>
    <xf numFmtId="0" fontId="15" fillId="23" borderId="27" xfId="40" applyFont="1" applyFill="1" applyBorder="1" applyAlignment="1">
      <alignment horizontal="right"/>
    </xf>
    <xf numFmtId="166" fontId="15" fillId="23" borderId="23" xfId="40" applyNumberFormat="1" applyFont="1" applyFill="1" applyBorder="1" applyAlignment="1">
      <alignment horizontal="center" vertical="center" wrapText="1"/>
    </xf>
    <xf numFmtId="166" fontId="15" fillId="23" borderId="39" xfId="40" applyNumberFormat="1" applyFont="1" applyFill="1" applyBorder="1" applyAlignment="1">
      <alignment horizontal="center" vertical="center" wrapText="1"/>
    </xf>
    <xf numFmtId="0" fontId="15" fillId="0" borderId="40" xfId="40" applyFont="1" applyFill="1" applyBorder="1" applyAlignment="1">
      <alignment horizontal="right"/>
    </xf>
    <xf numFmtId="166" fontId="15" fillId="0" borderId="41" xfId="40" applyNumberFormat="1" applyFont="1" applyFill="1" applyBorder="1" applyAlignment="1">
      <alignment horizontal="center"/>
    </xf>
    <xf numFmtId="166" fontId="15" fillId="0" borderId="42" xfId="40" applyNumberFormat="1" applyFont="1" applyFill="1" applyBorder="1" applyAlignment="1">
      <alignment horizontal="center"/>
    </xf>
    <xf numFmtId="0" fontId="50" fillId="0" borderId="43" xfId="40" applyFont="1" applyFill="1" applyBorder="1" applyAlignment="1">
      <alignment horizontal="left" vertical="top"/>
    </xf>
    <xf numFmtId="166" fontId="15" fillId="0" borderId="35" xfId="40" applyNumberFormat="1" applyFont="1" applyFill="1" applyBorder="1" applyAlignment="1">
      <alignment horizontal="center"/>
    </xf>
    <xf numFmtId="166" fontId="15" fillId="0" borderId="44" xfId="40" applyNumberFormat="1" applyFont="1" applyFill="1" applyBorder="1" applyAlignment="1">
      <alignment horizontal="center"/>
    </xf>
    <xf numFmtId="0" fontId="51" fillId="0" borderId="27" xfId="57" applyFont="1" applyFill="1" applyBorder="1" applyAlignment="1">
      <alignment horizontal="left" vertical="top"/>
    </xf>
    <xf numFmtId="166" fontId="15" fillId="0" borderId="23" xfId="40" applyNumberFormat="1" applyFont="1" applyFill="1" applyBorder="1" applyAlignment="1"/>
    <xf numFmtId="166" fontId="15" fillId="0" borderId="39" xfId="40" applyNumberFormat="1" applyFont="1" applyFill="1" applyBorder="1" applyAlignment="1"/>
    <xf numFmtId="0" fontId="51" fillId="0" borderId="27" xfId="57" applyFont="1" applyFill="1" applyBorder="1" applyAlignment="1">
      <alignment horizontal="left" vertical="top" indent="1"/>
    </xf>
    <xf numFmtId="0" fontId="51" fillId="0" borderId="19" xfId="57" applyFont="1" applyFill="1" applyBorder="1" applyAlignment="1">
      <alignment vertical="top"/>
    </xf>
    <xf numFmtId="0" fontId="11" fillId="0" borderId="42" xfId="52" applyBorder="1"/>
    <xf numFmtId="0" fontId="51" fillId="0" borderId="0" xfId="57" applyFont="1" applyFill="1" applyBorder="1" applyAlignment="1">
      <alignment horizontal="left" vertical="top" indent="1"/>
    </xf>
    <xf numFmtId="0" fontId="11" fillId="0" borderId="0" xfId="52" applyFill="1"/>
    <xf numFmtId="0" fontId="11" fillId="0" borderId="0" xfId="52" applyAlignment="1">
      <alignment horizontal="left" wrapText="1"/>
    </xf>
    <xf numFmtId="0" fontId="15" fillId="0" borderId="45" xfId="40" applyFont="1" applyFill="1" applyBorder="1" applyAlignment="1">
      <alignment horizontal="right"/>
    </xf>
    <xf numFmtId="0" fontId="15" fillId="0" borderId="37" xfId="40" applyFont="1" applyFill="1" applyBorder="1" applyAlignment="1">
      <alignment horizontal="right"/>
    </xf>
    <xf numFmtId="0" fontId="15" fillId="0" borderId="37" xfId="40" applyFont="1" applyFill="1" applyBorder="1" applyAlignment="1">
      <alignment horizontal="left"/>
    </xf>
    <xf numFmtId="0" fontId="15" fillId="0" borderId="38" xfId="40" applyFont="1" applyFill="1" applyBorder="1" applyAlignment="1">
      <alignment horizontal="left"/>
    </xf>
    <xf numFmtId="0" fontId="15" fillId="0" borderId="46" xfId="40" applyFont="1" applyFill="1" applyBorder="1" applyAlignment="1">
      <alignment horizontal="right"/>
    </xf>
    <xf numFmtId="0" fontId="15" fillId="0" borderId="23" xfId="40" applyFont="1" applyFill="1" applyBorder="1" applyAlignment="1">
      <alignment horizontal="right"/>
    </xf>
    <xf numFmtId="0" fontId="15" fillId="0" borderId="23" xfId="40" applyFont="1" applyFill="1" applyBorder="1" applyAlignment="1">
      <alignment horizontal="left"/>
    </xf>
    <xf numFmtId="0" fontId="15" fillId="0" borderId="39" xfId="40" applyFont="1" applyFill="1" applyBorder="1" applyAlignment="1">
      <alignment horizontal="left"/>
    </xf>
    <xf numFmtId="0" fontId="15" fillId="23" borderId="46" xfId="40" applyFont="1" applyFill="1" applyBorder="1" applyAlignment="1">
      <alignment horizontal="right"/>
    </xf>
    <xf numFmtId="176" fontId="15" fillId="23" borderId="23" xfId="54" applyNumberFormat="1" applyFont="1" applyFill="1" applyBorder="1" applyAlignment="1">
      <alignment horizontal="right"/>
    </xf>
    <xf numFmtId="0" fontId="15" fillId="23" borderId="23" xfId="40" applyFont="1" applyFill="1" applyBorder="1" applyAlignment="1">
      <alignment horizontal="left"/>
    </xf>
    <xf numFmtId="0" fontId="15" fillId="0" borderId="47" xfId="40" applyFont="1" applyFill="1" applyBorder="1" applyAlignment="1">
      <alignment horizontal="right"/>
    </xf>
    <xf numFmtId="0" fontId="15" fillId="0" borderId="41" xfId="40" applyFont="1" applyFill="1" applyBorder="1" applyAlignment="1">
      <alignment horizontal="right"/>
    </xf>
    <xf numFmtId="0" fontId="15" fillId="0" borderId="41" xfId="40" applyFont="1" applyFill="1" applyBorder="1" applyAlignment="1">
      <alignment horizontal="left"/>
    </xf>
    <xf numFmtId="0" fontId="15" fillId="0" borderId="42" xfId="40" applyFont="1" applyFill="1" applyBorder="1" applyAlignment="1">
      <alignment horizontal="left"/>
    </xf>
    <xf numFmtId="8" fontId="0" fillId="20" borderId="0" xfId="0" applyNumberFormat="1" applyFill="1"/>
    <xf numFmtId="0" fontId="52" fillId="24" borderId="0" xfId="0" applyNumberFormat="1" applyFont="1" applyFill="1" applyBorder="1" applyAlignment="1" applyProtection="1">
      <alignment horizontal="left"/>
    </xf>
    <xf numFmtId="0" fontId="53" fillId="24" borderId="0" xfId="0" applyNumberFormat="1" applyFont="1" applyFill="1" applyBorder="1" applyAlignment="1" applyProtection="1">
      <alignment horizontal="left"/>
    </xf>
    <xf numFmtId="0" fontId="54" fillId="25" borderId="23" xfId="0" applyNumberFormat="1" applyFont="1" applyFill="1" applyBorder="1" applyAlignment="1" applyProtection="1">
      <alignment horizontal="left" vertical="center" wrapText="1"/>
    </xf>
    <xf numFmtId="0" fontId="41" fillId="0" borderId="23" xfId="0" applyNumberFormat="1" applyFont="1" applyFill="1" applyBorder="1" applyAlignment="1" applyProtection="1">
      <alignment horizontal="left" wrapText="1"/>
    </xf>
    <xf numFmtId="3" fontId="41" fillId="0" borderId="23" xfId="0" applyNumberFormat="1" applyFont="1" applyFill="1" applyBorder="1" applyAlignment="1" applyProtection="1">
      <alignment horizontal="right" wrapText="1"/>
    </xf>
    <xf numFmtId="172" fontId="41" fillId="0" borderId="23" xfId="0" applyNumberFormat="1" applyFont="1" applyFill="1" applyBorder="1" applyAlignment="1" applyProtection="1">
      <alignment horizontal="right" wrapText="1"/>
    </xf>
    <xf numFmtId="4" fontId="41" fillId="0" borderId="23" xfId="0" applyNumberFormat="1" applyFont="1" applyFill="1" applyBorder="1" applyAlignment="1" applyProtection="1">
      <alignment horizontal="right" wrapText="1"/>
    </xf>
    <xf numFmtId="44" fontId="11" fillId="0" borderId="0" xfId="28" applyFont="1"/>
    <xf numFmtId="2" fontId="0" fillId="20" borderId="0" xfId="0" applyNumberFormat="1" applyFill="1" applyAlignment="1">
      <alignment wrapText="1"/>
    </xf>
    <xf numFmtId="164" fontId="0" fillId="19" borderId="0" xfId="0" applyNumberFormat="1" applyFill="1" applyAlignment="1">
      <alignment wrapText="1"/>
    </xf>
    <xf numFmtId="0" fontId="55" fillId="0" borderId="0" xfId="40" applyFont="1" applyFill="1" applyAlignment="1">
      <alignment horizontal="centerContinuous"/>
    </xf>
    <xf numFmtId="0" fontId="56" fillId="0" borderId="0" xfId="40" applyFont="1" applyFill="1"/>
    <xf numFmtId="0" fontId="10" fillId="0" borderId="0" xfId="60"/>
    <xf numFmtId="0" fontId="10" fillId="20" borderId="0" xfId="60" applyFill="1"/>
    <xf numFmtId="0" fontId="10" fillId="20" borderId="0" xfId="40" applyFont="1" applyFill="1" applyAlignment="1">
      <alignment horizontal="center" wrapText="1"/>
    </xf>
    <xf numFmtId="0" fontId="10" fillId="0" borderId="0" xfId="60" applyFill="1"/>
    <xf numFmtId="0" fontId="57" fillId="0" borderId="32" xfId="40" applyFont="1" applyFill="1" applyBorder="1"/>
    <xf numFmtId="0" fontId="56" fillId="20" borderId="32" xfId="40" applyFont="1" applyFill="1" applyBorder="1" applyAlignment="1">
      <alignment horizontal="center"/>
    </xf>
    <xf numFmtId="0" fontId="56" fillId="0" borderId="32" xfId="40" applyFont="1" applyFill="1" applyBorder="1" applyAlignment="1">
      <alignment horizontal="center"/>
    </xf>
    <xf numFmtId="0" fontId="10" fillId="20" borderId="32" xfId="40" applyFont="1" applyFill="1" applyBorder="1" applyAlignment="1">
      <alignment horizontal="center" wrapText="1"/>
    </xf>
    <xf numFmtId="165" fontId="58" fillId="20" borderId="0" xfId="60" applyNumberFormat="1" applyFont="1" applyFill="1"/>
    <xf numFmtId="0" fontId="58" fillId="20" borderId="0" xfId="60" quotePrefix="1" applyFont="1" applyFill="1"/>
    <xf numFmtId="0" fontId="56" fillId="0" borderId="0" xfId="60" applyFont="1"/>
    <xf numFmtId="0" fontId="59" fillId="0" borderId="0" xfId="60" applyFont="1" applyBorder="1" applyAlignment="1">
      <alignment horizontal="centerContinuous"/>
    </xf>
    <xf numFmtId="0" fontId="56" fillId="0" borderId="0" xfId="40" applyFont="1" applyFill="1" applyAlignment="1">
      <alignment horizontal="center"/>
    </xf>
    <xf numFmtId="0" fontId="58" fillId="0" borderId="0" xfId="40" applyFont="1" applyFill="1" applyBorder="1" applyAlignment="1">
      <alignment horizontal="center"/>
    </xf>
    <xf numFmtId="0" fontId="48" fillId="0" borderId="23" xfId="40" applyFont="1" applyFill="1" applyBorder="1" applyAlignment="1">
      <alignment horizontal="center"/>
    </xf>
    <xf numFmtId="0" fontId="48" fillId="20" borderId="29" xfId="60" applyFont="1" applyFill="1" applyBorder="1" applyAlignment="1">
      <alignment horizontal="center"/>
    </xf>
    <xf numFmtId="0" fontId="48" fillId="20" borderId="51" xfId="60" applyFont="1" applyFill="1" applyBorder="1" applyAlignment="1">
      <alignment horizontal="center" wrapText="1"/>
    </xf>
    <xf numFmtId="0" fontId="48" fillId="0" borderId="23" xfId="60" applyFont="1" applyBorder="1" applyAlignment="1">
      <alignment horizontal="center" wrapText="1"/>
    </xf>
    <xf numFmtId="0" fontId="48" fillId="0" borderId="23" xfId="60" applyFont="1" applyBorder="1" applyAlignment="1">
      <alignment horizontal="centerContinuous" wrapText="1"/>
    </xf>
    <xf numFmtId="0" fontId="10" fillId="0" borderId="23" xfId="60" applyFont="1" applyBorder="1" applyAlignment="1">
      <alignment horizontal="centerContinuous" wrapText="1"/>
    </xf>
    <xf numFmtId="0" fontId="48" fillId="20" borderId="23" xfId="60" applyFont="1" applyFill="1" applyBorder="1" applyAlignment="1">
      <alignment horizontal="center" wrapText="1"/>
    </xf>
    <xf numFmtId="0" fontId="58" fillId="0" borderId="52" xfId="40" applyFont="1" applyFill="1" applyBorder="1" applyAlignment="1">
      <alignment horizontal="center"/>
    </xf>
    <xf numFmtId="0" fontId="58" fillId="0" borderId="53" xfId="40" applyFont="1" applyFill="1" applyBorder="1" applyAlignment="1">
      <alignment horizontal="center"/>
    </xf>
    <xf numFmtId="0" fontId="58" fillId="0" borderId="51" xfId="40" applyFont="1" applyFill="1" applyBorder="1" applyAlignment="1">
      <alignment horizontal="center"/>
    </xf>
    <xf numFmtId="0" fontId="10" fillId="0" borderId="0" xfId="60" applyAlignment="1">
      <alignment horizontal="left"/>
    </xf>
    <xf numFmtId="0" fontId="10" fillId="0" borderId="29" xfId="60" applyBorder="1" applyAlignment="1">
      <alignment horizontal="left" vertical="top" wrapText="1"/>
    </xf>
    <xf numFmtId="165" fontId="55" fillId="20" borderId="10" xfId="40" applyNumberFormat="1" applyFont="1" applyFill="1" applyBorder="1" applyAlignment="1">
      <alignment vertical="center"/>
    </xf>
    <xf numFmtId="165" fontId="55" fillId="0" borderId="10" xfId="40" applyNumberFormat="1" applyFont="1" applyFill="1" applyBorder="1" applyAlignment="1">
      <alignment vertical="center"/>
    </xf>
    <xf numFmtId="165" fontId="48" fillId="20" borderId="30" xfId="40" applyNumberFormat="1" applyFont="1" applyFill="1" applyBorder="1" applyAlignment="1">
      <alignment vertical="center"/>
    </xf>
    <xf numFmtId="0" fontId="10" fillId="0" borderId="54" xfId="60" applyFill="1" applyBorder="1"/>
    <xf numFmtId="165" fontId="56" fillId="0" borderId="55" xfId="40" applyNumberFormat="1" applyFont="1" applyFill="1" applyBorder="1" applyAlignment="1">
      <alignment horizontal="center" vertical="center"/>
    </xf>
    <xf numFmtId="165" fontId="58" fillId="0" borderId="55" xfId="40" applyNumberFormat="1" applyFont="1" applyFill="1" applyBorder="1" applyAlignment="1" applyProtection="1">
      <alignment horizontal="center" vertical="center"/>
      <protection locked="0"/>
    </xf>
    <xf numFmtId="0" fontId="56" fillId="0" borderId="55" xfId="40" applyFont="1" applyFill="1" applyBorder="1" applyAlignment="1">
      <alignment horizontal="center" vertical="center"/>
    </xf>
    <xf numFmtId="0" fontId="10" fillId="0" borderId="56" xfId="60" applyFill="1" applyBorder="1" applyAlignment="1">
      <alignment horizontal="left"/>
    </xf>
    <xf numFmtId="0" fontId="10" fillId="0" borderId="57" xfId="60" applyBorder="1" applyAlignment="1">
      <alignment horizontal="left" vertical="top" wrapText="1" indent="2"/>
    </xf>
    <xf numFmtId="165" fontId="60" fillId="20" borderId="58" xfId="40" applyNumberFormat="1" applyFont="1" applyFill="1" applyBorder="1" applyAlignment="1" applyProtection="1">
      <alignment horizontal="right" vertical="top"/>
      <protection locked="0"/>
    </xf>
    <xf numFmtId="165" fontId="56" fillId="26" borderId="59" xfId="40" applyNumberFormat="1" applyFont="1" applyFill="1" applyBorder="1" applyAlignment="1">
      <alignment horizontal="center" vertical="top"/>
    </xf>
    <xf numFmtId="9" fontId="56" fillId="0" borderId="60" xfId="40" applyNumberFormat="1" applyFont="1" applyFill="1" applyBorder="1" applyAlignment="1">
      <alignment horizontal="center" vertical="top"/>
    </xf>
    <xf numFmtId="0" fontId="61" fillId="0" borderId="57" xfId="40" applyFont="1" applyFill="1" applyBorder="1" applyAlignment="1">
      <alignment horizontal="centerContinuous" vertical="center"/>
    </xf>
    <xf numFmtId="0" fontId="0" fillId="0" borderId="61" xfId="40" applyFont="1" applyFill="1" applyBorder="1" applyAlignment="1">
      <alignment horizontal="centerContinuous" vertical="center"/>
    </xf>
    <xf numFmtId="0" fontId="10" fillId="20" borderId="48" xfId="40" applyFont="1" applyFill="1" applyBorder="1" applyAlignment="1">
      <alignment horizontal="left" wrapText="1"/>
    </xf>
    <xf numFmtId="0" fontId="10" fillId="0" borderId="62" xfId="60" applyFill="1" applyBorder="1"/>
    <xf numFmtId="165" fontId="58" fillId="0" borderId="63" xfId="40" applyNumberFormat="1" applyFont="1" applyFill="1" applyBorder="1" applyAlignment="1" applyProtection="1">
      <alignment horizontal="center" vertical="center"/>
      <protection locked="0"/>
    </xf>
    <xf numFmtId="165" fontId="56" fillId="0" borderId="63" xfId="40" applyNumberFormat="1" applyFont="1" applyFill="1" applyBorder="1" applyAlignment="1" applyProtection="1">
      <alignment horizontal="center" vertical="center"/>
      <protection locked="0"/>
    </xf>
    <xf numFmtId="0" fontId="56" fillId="0" borderId="63" xfId="40" applyFont="1" applyFill="1" applyBorder="1" applyAlignment="1">
      <alignment horizontal="center" vertical="center"/>
    </xf>
    <xf numFmtId="0" fontId="10" fillId="0" borderId="64" xfId="60" applyFill="1" applyBorder="1" applyAlignment="1">
      <alignment horizontal="left"/>
    </xf>
    <xf numFmtId="0" fontId="10" fillId="0" borderId="65" xfId="60" applyFill="1" applyBorder="1" applyAlignment="1">
      <alignment horizontal="left" vertical="top" wrapText="1" indent="2"/>
    </xf>
    <xf numFmtId="165" fontId="60" fillId="20" borderId="62" xfId="40" applyNumberFormat="1" applyFont="1" applyFill="1" applyBorder="1" applyAlignment="1" applyProtection="1">
      <alignment horizontal="right" vertical="top"/>
      <protection locked="0"/>
    </xf>
    <xf numFmtId="165" fontId="56" fillId="26" borderId="64" xfId="40" applyNumberFormat="1" applyFont="1" applyFill="1" applyBorder="1" applyAlignment="1">
      <alignment horizontal="center" vertical="top"/>
    </xf>
    <xf numFmtId="9" fontId="56" fillId="0" borderId="66" xfId="40" applyNumberFormat="1" applyFont="1" applyFill="1" applyBorder="1" applyAlignment="1">
      <alignment horizontal="center" vertical="top"/>
    </xf>
    <xf numFmtId="0" fontId="61" fillId="0" borderId="65" xfId="40" applyFont="1" applyFill="1" applyBorder="1" applyAlignment="1">
      <alignment horizontal="centerContinuous" vertical="center"/>
    </xf>
    <xf numFmtId="0" fontId="0" fillId="0" borderId="67" xfId="40" applyFont="1" applyFill="1" applyBorder="1" applyAlignment="1">
      <alignment horizontal="centerContinuous" vertical="center"/>
    </xf>
    <xf numFmtId="0" fontId="10" fillId="0" borderId="58" xfId="60" applyFill="1" applyBorder="1"/>
    <xf numFmtId="165" fontId="56" fillId="0" borderId="68" xfId="40" applyNumberFormat="1" applyFont="1" applyFill="1" applyBorder="1" applyAlignment="1">
      <alignment horizontal="center" vertical="center"/>
    </xf>
    <xf numFmtId="165" fontId="56" fillId="0" borderId="68" xfId="40" applyNumberFormat="1" applyFont="1" applyFill="1" applyBorder="1" applyAlignment="1" applyProtection="1">
      <alignment horizontal="center" vertical="center"/>
      <protection locked="0"/>
    </xf>
    <xf numFmtId="0" fontId="10" fillId="0" borderId="65" xfId="60" applyBorder="1" applyAlignment="1">
      <alignment horizontal="left" vertical="top" wrapText="1" indent="2"/>
    </xf>
    <xf numFmtId="165" fontId="56" fillId="20" borderId="64" xfId="40" applyNumberFormat="1" applyFont="1" applyFill="1" applyBorder="1" applyAlignment="1">
      <alignment horizontal="right" vertical="top"/>
    </xf>
    <xf numFmtId="0" fontId="0" fillId="20" borderId="48" xfId="40" applyFont="1" applyFill="1" applyBorder="1" applyAlignment="1">
      <alignment horizontal="left" wrapText="1"/>
    </xf>
    <xf numFmtId="165" fontId="56" fillId="0" borderId="63" xfId="40" applyNumberFormat="1" applyFont="1" applyFill="1" applyBorder="1" applyAlignment="1">
      <alignment horizontal="center" vertical="center"/>
    </xf>
    <xf numFmtId="165" fontId="60" fillId="20" borderId="69" xfId="40" applyNumberFormat="1" applyFont="1" applyFill="1" applyBorder="1" applyAlignment="1" applyProtection="1">
      <alignment horizontal="right" vertical="top"/>
      <protection locked="0"/>
    </xf>
    <xf numFmtId="173" fontId="60" fillId="0" borderId="66" xfId="40" applyNumberFormat="1" applyFont="1" applyFill="1" applyBorder="1" applyAlignment="1">
      <alignment horizontal="center" vertical="top"/>
    </xf>
    <xf numFmtId="0" fontId="48" fillId="0" borderId="29" xfId="60" applyFont="1" applyBorder="1" applyAlignment="1">
      <alignment horizontal="left" vertical="top" wrapText="1" indent="2"/>
    </xf>
    <xf numFmtId="165" fontId="10" fillId="20" borderId="70" xfId="40" applyNumberFormat="1" applyFont="1" applyFill="1" applyBorder="1" applyAlignment="1" applyProtection="1">
      <alignment horizontal="right" vertical="top"/>
      <protection locked="0"/>
    </xf>
    <xf numFmtId="165" fontId="56" fillId="26" borderId="51" xfId="40" applyNumberFormat="1" applyFont="1" applyFill="1" applyBorder="1" applyAlignment="1">
      <alignment horizontal="center" vertical="top"/>
    </xf>
    <xf numFmtId="9" fontId="56" fillId="0" borderId="10" xfId="40" applyNumberFormat="1" applyFont="1" applyFill="1" applyBorder="1" applyAlignment="1">
      <alignment horizontal="center" vertical="top"/>
    </xf>
    <xf numFmtId="0" fontId="0" fillId="0" borderId="29" xfId="40" applyFont="1" applyFill="1" applyBorder="1" applyAlignment="1">
      <alignment horizontal="centerContinuous" vertical="center"/>
    </xf>
    <xf numFmtId="0" fontId="0" fillId="0" borderId="30" xfId="40" applyFont="1" applyFill="1" applyBorder="1" applyAlignment="1">
      <alignment horizontal="centerContinuous" vertical="center"/>
    </xf>
    <xf numFmtId="0" fontId="10" fillId="20" borderId="23" xfId="40" applyFont="1" applyFill="1" applyBorder="1" applyAlignment="1">
      <alignment horizontal="left" wrapText="1"/>
    </xf>
    <xf numFmtId="0" fontId="10" fillId="0" borderId="71" xfId="60" applyFill="1" applyBorder="1"/>
    <xf numFmtId="165" fontId="56" fillId="0" borderId="72" xfId="40" applyNumberFormat="1" applyFont="1" applyFill="1" applyBorder="1" applyAlignment="1">
      <alignment horizontal="center" vertical="center"/>
    </xf>
    <xf numFmtId="165" fontId="56" fillId="0" borderId="72" xfId="40" applyNumberFormat="1" applyFont="1" applyFill="1" applyBorder="1" applyAlignment="1" applyProtection="1">
      <alignment horizontal="center" vertical="center"/>
      <protection locked="0"/>
    </xf>
    <xf numFmtId="0" fontId="56" fillId="0" borderId="72" xfId="40" applyFont="1" applyFill="1" applyBorder="1" applyAlignment="1">
      <alignment horizontal="center" vertical="center"/>
    </xf>
    <xf numFmtId="0" fontId="10" fillId="0" borderId="73" xfId="60" applyFill="1" applyBorder="1" applyAlignment="1">
      <alignment horizontal="left"/>
    </xf>
    <xf numFmtId="165" fontId="60" fillId="20" borderId="10" xfId="40" applyNumberFormat="1" applyFont="1" applyFill="1" applyBorder="1" applyAlignment="1" applyProtection="1">
      <alignment horizontal="center" vertical="top"/>
      <protection locked="0"/>
    </xf>
    <xf numFmtId="165" fontId="56" fillId="20" borderId="10" xfId="40" applyNumberFormat="1" applyFont="1" applyFill="1" applyBorder="1" applyAlignment="1">
      <alignment horizontal="center" vertical="top"/>
    </xf>
    <xf numFmtId="0" fontId="0" fillId="0" borderId="10" xfId="40" applyFont="1" applyFill="1" applyBorder="1" applyAlignment="1">
      <alignment horizontal="centerContinuous" vertical="center"/>
    </xf>
    <xf numFmtId="0" fontId="10" fillId="20" borderId="30" xfId="40" applyFont="1" applyFill="1" applyBorder="1" applyAlignment="1">
      <alignment horizontal="left" wrapText="1"/>
    </xf>
    <xf numFmtId="165" fontId="56" fillId="20" borderId="59" xfId="40" applyNumberFormat="1" applyFont="1" applyFill="1" applyBorder="1" applyAlignment="1">
      <alignment horizontal="right" vertical="top"/>
    </xf>
    <xf numFmtId="0" fontId="0" fillId="0" borderId="57" xfId="40" applyFont="1" applyFill="1" applyBorder="1" applyAlignment="1">
      <alignment horizontal="centerContinuous" vertical="center"/>
    </xf>
    <xf numFmtId="0" fontId="0" fillId="0" borderId="65" xfId="40" applyFont="1" applyFill="1" applyBorder="1" applyAlignment="1">
      <alignment horizontal="centerContinuous" vertical="center"/>
    </xf>
    <xf numFmtId="165" fontId="56" fillId="26" borderId="64" xfId="40" applyNumberFormat="1" applyFont="1" applyFill="1" applyBorder="1" applyAlignment="1">
      <alignment horizontal="right" vertical="top"/>
    </xf>
    <xf numFmtId="9" fontId="63" fillId="0" borderId="66" xfId="40" applyNumberFormat="1" applyFont="1" applyFill="1" applyBorder="1" applyAlignment="1">
      <alignment horizontal="center" vertical="top"/>
    </xf>
    <xf numFmtId="0" fontId="10" fillId="0" borderId="69" xfId="60" applyFill="1" applyBorder="1"/>
    <xf numFmtId="165" fontId="56" fillId="0" borderId="74" xfId="40" applyNumberFormat="1" applyFont="1" applyFill="1" applyBorder="1" applyAlignment="1">
      <alignment horizontal="center" vertical="center"/>
    </xf>
    <xf numFmtId="165" fontId="56" fillId="0" borderId="74" xfId="40" applyNumberFormat="1" applyFont="1" applyFill="1" applyBorder="1" applyAlignment="1" applyProtection="1">
      <alignment horizontal="center" vertical="center"/>
      <protection locked="0"/>
    </xf>
    <xf numFmtId="0" fontId="56" fillId="0" borderId="74" xfId="40" applyFont="1" applyFill="1" applyBorder="1" applyAlignment="1">
      <alignment horizontal="center" vertical="center"/>
    </xf>
    <xf numFmtId="0" fontId="10" fillId="0" borderId="75" xfId="60" applyFill="1" applyBorder="1" applyAlignment="1">
      <alignment horizontal="left"/>
    </xf>
    <xf numFmtId="0" fontId="10" fillId="0" borderId="29" xfId="60" applyBorder="1" applyAlignment="1">
      <alignment horizontal="left" vertical="top" wrapText="1" indent="2"/>
    </xf>
    <xf numFmtId="165" fontId="56" fillId="26" borderId="51" xfId="40" applyNumberFormat="1" applyFont="1" applyFill="1" applyBorder="1" applyAlignment="1">
      <alignment horizontal="right" vertical="top"/>
    </xf>
    <xf numFmtId="0" fontId="0" fillId="0" borderId="29" xfId="40" applyFont="1" applyFill="1" applyBorder="1" applyAlignment="1">
      <alignment horizontal="centerContinuous" vertical="center" shrinkToFit="1"/>
    </xf>
    <xf numFmtId="0" fontId="0" fillId="0" borderId="30" xfId="40" applyFont="1" applyFill="1" applyBorder="1" applyAlignment="1">
      <alignment horizontal="centerContinuous" vertical="center" shrinkToFit="1"/>
    </xf>
    <xf numFmtId="0" fontId="10" fillId="0" borderId="70" xfId="60" applyFill="1" applyBorder="1"/>
    <xf numFmtId="165" fontId="56" fillId="0" borderId="76" xfId="40" applyNumberFormat="1" applyFont="1" applyFill="1" applyBorder="1" applyAlignment="1">
      <alignment horizontal="center" vertical="center"/>
    </xf>
    <xf numFmtId="165" fontId="56" fillId="0" borderId="76" xfId="40" applyNumberFormat="1" applyFont="1" applyFill="1" applyBorder="1" applyAlignment="1" applyProtection="1">
      <alignment horizontal="center" vertical="center"/>
      <protection locked="0"/>
    </xf>
    <xf numFmtId="0" fontId="56" fillId="0" borderId="76" xfId="40" applyFont="1" applyFill="1" applyBorder="1" applyAlignment="1">
      <alignment horizontal="center" vertical="center"/>
    </xf>
    <xf numFmtId="0" fontId="10" fillId="0" borderId="77" xfId="60" applyFill="1" applyBorder="1" applyAlignment="1">
      <alignment horizontal="left"/>
    </xf>
    <xf numFmtId="0" fontId="48" fillId="0" borderId="49" xfId="40" applyFont="1" applyFill="1" applyBorder="1" applyAlignment="1" applyProtection="1">
      <alignment vertical="top"/>
      <protection locked="0"/>
    </xf>
    <xf numFmtId="165" fontId="64" fillId="20" borderId="52" xfId="40" applyNumberFormat="1" applyFont="1" applyFill="1" applyBorder="1" applyAlignment="1" applyProtection="1">
      <alignment horizontal="right"/>
      <protection locked="0"/>
    </xf>
    <xf numFmtId="0" fontId="56" fillId="26" borderId="51" xfId="40" applyFont="1" applyFill="1" applyBorder="1" applyAlignment="1">
      <alignment horizontal="right"/>
    </xf>
    <xf numFmtId="9" fontId="56" fillId="0" borderId="10" xfId="40" applyNumberFormat="1" applyFont="1" applyFill="1" applyBorder="1" applyAlignment="1">
      <alignment horizontal="center"/>
    </xf>
    <xf numFmtId="0" fontId="48" fillId="0" borderId="29" xfId="40" applyFont="1" applyFill="1" applyBorder="1" applyAlignment="1" applyProtection="1">
      <alignment horizontal="centerContinuous" vertical="center"/>
      <protection locked="0"/>
    </xf>
    <xf numFmtId="0" fontId="0" fillId="0" borderId="30" xfId="40" applyFont="1" applyFill="1" applyBorder="1" applyAlignment="1" applyProtection="1">
      <alignment horizontal="centerContinuous" vertical="center"/>
      <protection locked="0"/>
    </xf>
    <xf numFmtId="0" fontId="10" fillId="0" borderId="52" xfId="60" applyFill="1" applyBorder="1"/>
    <xf numFmtId="165" fontId="58" fillId="0" borderId="53" xfId="40" applyNumberFormat="1" applyFont="1" applyFill="1" applyBorder="1" applyAlignment="1" applyProtection="1">
      <alignment horizontal="center" vertical="center"/>
      <protection locked="0"/>
    </xf>
    <xf numFmtId="165" fontId="56" fillId="0" borderId="53" xfId="40" applyNumberFormat="1" applyFont="1" applyFill="1" applyBorder="1" applyAlignment="1" applyProtection="1">
      <alignment horizontal="center" vertical="center"/>
      <protection locked="0"/>
    </xf>
    <xf numFmtId="0" fontId="56" fillId="0" borderId="53" xfId="40" applyFont="1" applyFill="1" applyBorder="1" applyAlignment="1">
      <alignment horizontal="center" vertical="center"/>
    </xf>
    <xf numFmtId="0" fontId="10" fillId="0" borderId="51" xfId="60" applyFill="1" applyBorder="1" applyAlignment="1">
      <alignment horizontal="left"/>
    </xf>
    <xf numFmtId="0" fontId="10" fillId="0" borderId="0" xfId="60" applyBorder="1" applyAlignment="1">
      <alignment horizontal="left" vertical="top" wrapText="1" indent="2"/>
    </xf>
    <xf numFmtId="165" fontId="60" fillId="20" borderId="0" xfId="40" applyNumberFormat="1" applyFont="1" applyFill="1" applyBorder="1" applyAlignment="1" applyProtection="1">
      <alignment horizontal="center" vertical="top"/>
      <protection locked="0"/>
    </xf>
    <xf numFmtId="165" fontId="56" fillId="20" borderId="0" xfId="40" applyNumberFormat="1" applyFont="1" applyFill="1" applyBorder="1" applyAlignment="1">
      <alignment horizontal="center" vertical="top"/>
    </xf>
    <xf numFmtId="9" fontId="56" fillId="0" borderId="0" xfId="40" applyNumberFormat="1" applyFont="1" applyFill="1" applyBorder="1" applyAlignment="1">
      <alignment horizontal="center" vertical="top"/>
    </xf>
    <xf numFmtId="0" fontId="0" fillId="0" borderId="0" xfId="40" applyFont="1" applyFill="1" applyBorder="1" applyAlignment="1">
      <alignment horizontal="centerContinuous" vertical="center"/>
    </xf>
    <xf numFmtId="0" fontId="10" fillId="0" borderId="0" xfId="60" applyFill="1" applyBorder="1"/>
    <xf numFmtId="165" fontId="56" fillId="0" borderId="0" xfId="40" applyNumberFormat="1" applyFont="1" applyFill="1" applyBorder="1" applyAlignment="1">
      <alignment horizontal="center" vertical="center"/>
    </xf>
    <xf numFmtId="165" fontId="58" fillId="0" borderId="0" xfId="40" applyNumberFormat="1" applyFont="1" applyFill="1" applyBorder="1" applyAlignment="1" applyProtection="1">
      <alignment horizontal="center" vertical="center"/>
      <protection locked="0"/>
    </xf>
    <xf numFmtId="0" fontId="56" fillId="0" borderId="0" xfId="40" applyFont="1" applyFill="1" applyBorder="1" applyAlignment="1">
      <alignment vertical="center"/>
    </xf>
    <xf numFmtId="0" fontId="10" fillId="0" borderId="0" xfId="60" applyFill="1" applyBorder="1" applyAlignment="1">
      <alignment horizontal="left"/>
    </xf>
    <xf numFmtId="0" fontId="10" fillId="0" borderId="29" xfId="60" applyFont="1" applyBorder="1" applyAlignment="1">
      <alignment horizontal="left"/>
    </xf>
    <xf numFmtId="0" fontId="56" fillId="20" borderId="10" xfId="40" applyFont="1" applyFill="1" applyBorder="1" applyAlignment="1">
      <alignment horizontal="center"/>
    </xf>
    <xf numFmtId="0" fontId="10" fillId="0" borderId="10" xfId="60" applyBorder="1"/>
    <xf numFmtId="0" fontId="10" fillId="20" borderId="30" xfId="40" applyFont="1" applyFill="1" applyBorder="1" applyAlignment="1">
      <alignment horizontal="center" wrapText="1"/>
    </xf>
    <xf numFmtId="165" fontId="60" fillId="20" borderId="58" xfId="40" applyNumberFormat="1" applyFont="1" applyFill="1" applyBorder="1" applyAlignment="1" applyProtection="1">
      <alignment horizontal="center" vertical="top"/>
      <protection locked="0"/>
    </xf>
    <xf numFmtId="165" fontId="56" fillId="0" borderId="53" xfId="40" applyNumberFormat="1" applyFont="1" applyFill="1" applyBorder="1" applyAlignment="1">
      <alignment horizontal="center" vertical="center"/>
    </xf>
    <xf numFmtId="0" fontId="56" fillId="0" borderId="53" xfId="40" applyFont="1" applyFill="1" applyBorder="1" applyAlignment="1">
      <alignment vertical="center"/>
    </xf>
    <xf numFmtId="165" fontId="60" fillId="20" borderId="62" xfId="40" applyNumberFormat="1" applyFont="1" applyFill="1" applyBorder="1" applyAlignment="1" applyProtection="1">
      <alignment horizontal="center" vertical="top"/>
      <protection locked="0"/>
    </xf>
    <xf numFmtId="0" fontId="10" fillId="0" borderId="78" xfId="60" applyBorder="1" applyAlignment="1">
      <alignment horizontal="left" vertical="top" wrapText="1" indent="2"/>
    </xf>
    <xf numFmtId="165" fontId="60" fillId="20" borderId="69" xfId="40" applyNumberFormat="1" applyFont="1" applyFill="1" applyBorder="1" applyAlignment="1" applyProtection="1">
      <alignment horizontal="center" vertical="top"/>
      <protection locked="0"/>
    </xf>
    <xf numFmtId="165" fontId="56" fillId="20" borderId="75" xfId="40" applyNumberFormat="1" applyFont="1" applyFill="1" applyBorder="1" applyAlignment="1">
      <alignment horizontal="right" vertical="top"/>
    </xf>
    <xf numFmtId="9" fontId="56" fillId="0" borderId="79" xfId="40" applyNumberFormat="1" applyFont="1" applyFill="1" applyBorder="1" applyAlignment="1">
      <alignment horizontal="center" vertical="top"/>
    </xf>
    <xf numFmtId="0" fontId="0" fillId="0" borderId="78" xfId="40" applyFont="1" applyFill="1" applyBorder="1" applyAlignment="1">
      <alignment horizontal="centerContinuous" vertical="center"/>
    </xf>
    <xf numFmtId="0" fontId="0" fillId="0" borderId="80" xfId="40" applyFont="1" applyFill="1" applyBorder="1" applyAlignment="1">
      <alignment horizontal="centerContinuous" vertical="center"/>
    </xf>
    <xf numFmtId="165" fontId="48" fillId="20" borderId="70" xfId="40" applyNumberFormat="1" applyFont="1" applyFill="1" applyBorder="1" applyAlignment="1" applyProtection="1">
      <alignment horizontal="right" vertical="top"/>
      <protection locked="0"/>
    </xf>
    <xf numFmtId="0" fontId="10" fillId="26" borderId="77" xfId="60" applyFill="1" applyBorder="1" applyAlignment="1">
      <alignment vertical="top"/>
    </xf>
    <xf numFmtId="9" fontId="10" fillId="0" borderId="33" xfId="60" applyNumberFormat="1" applyFill="1" applyBorder="1" applyAlignment="1">
      <alignment horizontal="center" vertical="top"/>
    </xf>
    <xf numFmtId="0" fontId="0" fillId="0" borderId="49" xfId="40" applyFont="1" applyFill="1" applyBorder="1" applyAlignment="1" applyProtection="1">
      <alignment horizontal="centerContinuous" vertical="center"/>
      <protection locked="0"/>
    </xf>
    <xf numFmtId="0" fontId="10" fillId="0" borderId="50" xfId="40" applyFont="1" applyFill="1" applyBorder="1" applyAlignment="1" applyProtection="1">
      <alignment horizontal="centerContinuous" vertical="center"/>
      <protection locked="0"/>
    </xf>
    <xf numFmtId="0" fontId="10" fillId="20" borderId="0" xfId="40" applyFont="1" applyFill="1" applyAlignment="1">
      <alignment horizontal="left" wrapText="1"/>
    </xf>
    <xf numFmtId="0" fontId="10" fillId="0" borderId="57" xfId="40" applyFont="1" applyFill="1" applyBorder="1" applyAlignment="1" applyProtection="1">
      <alignment horizontal="left" vertical="center" indent="2"/>
      <protection locked="0"/>
    </xf>
    <xf numFmtId="168" fontId="60" fillId="20" borderId="58" xfId="61" applyNumberFormat="1" applyFont="1" applyFill="1" applyBorder="1" applyAlignment="1" applyProtection="1">
      <alignment horizontal="right" vertical="center" wrapText="1"/>
      <protection locked="0"/>
    </xf>
    <xf numFmtId="164" fontId="10" fillId="20" borderId="59" xfId="40" applyNumberFormat="1" applyFont="1" applyFill="1" applyBorder="1" applyAlignment="1" applyProtection="1">
      <alignment horizontal="right" vertical="center"/>
      <protection locked="0"/>
    </xf>
    <xf numFmtId="9" fontId="10" fillId="0" borderId="81" xfId="40" applyNumberFormat="1" applyFont="1" applyFill="1" applyBorder="1" applyAlignment="1" applyProtection="1">
      <alignment horizontal="center" vertical="center"/>
      <protection locked="0"/>
    </xf>
    <xf numFmtId="0" fontId="0" fillId="0" borderId="57" xfId="40" applyFont="1" applyFill="1" applyBorder="1" applyAlignment="1" applyProtection="1">
      <alignment horizontal="centerContinuous" vertical="center"/>
      <protection locked="0"/>
    </xf>
    <xf numFmtId="0" fontId="0" fillId="0" borderId="61" xfId="40" applyFont="1" applyFill="1" applyBorder="1" applyAlignment="1" applyProtection="1">
      <alignment horizontal="centerContinuous" vertical="center"/>
      <protection locked="0"/>
    </xf>
    <xf numFmtId="0" fontId="10" fillId="20" borderId="81" xfId="40" applyFont="1" applyFill="1" applyBorder="1" applyAlignment="1">
      <alignment horizontal="left" wrapText="1"/>
    </xf>
    <xf numFmtId="0" fontId="56" fillId="0" borderId="0" xfId="40" applyFont="1" applyFill="1" applyAlignment="1">
      <alignment wrapText="1"/>
    </xf>
    <xf numFmtId="0" fontId="10" fillId="0" borderId="52" xfId="40" applyFont="1" applyFill="1" applyBorder="1" applyAlignment="1">
      <alignment vertical="center" wrapText="1"/>
    </xf>
    <xf numFmtId="0" fontId="56" fillId="0" borderId="51" xfId="40" applyFont="1" applyFill="1" applyBorder="1" applyAlignment="1">
      <alignment horizontal="left" vertical="center"/>
    </xf>
    <xf numFmtId="0" fontId="61" fillId="0" borderId="60" xfId="40" applyFont="1" applyFill="1" applyBorder="1" applyAlignment="1" applyProtection="1">
      <alignment horizontal="centerContinuous" vertical="center"/>
      <protection locked="0"/>
    </xf>
    <xf numFmtId="0" fontId="10" fillId="0" borderId="61" xfId="40" applyFont="1" applyFill="1" applyBorder="1" applyAlignment="1" applyProtection="1">
      <alignment horizontal="centerContinuous" vertical="center"/>
      <protection locked="0"/>
    </xf>
    <xf numFmtId="0" fontId="0" fillId="0" borderId="49" xfId="40" applyFont="1" applyFill="1" applyBorder="1" applyAlignment="1" applyProtection="1">
      <alignment horizontal="left" vertical="center" indent="2"/>
      <protection locked="0"/>
    </xf>
    <xf numFmtId="0" fontId="60" fillId="20" borderId="70" xfId="40" applyFont="1" applyFill="1" applyBorder="1" applyAlignment="1" applyProtection="1">
      <alignment horizontal="right" vertical="center" wrapText="1"/>
      <protection locked="0"/>
    </xf>
    <xf numFmtId="165" fontId="10" fillId="20" borderId="77" xfId="40" applyNumberFormat="1" applyFont="1" applyFill="1" applyBorder="1" applyAlignment="1" applyProtection="1">
      <alignment horizontal="right" vertical="center"/>
      <protection locked="0"/>
    </xf>
    <xf numFmtId="9" fontId="0" fillId="0" borderId="35" xfId="40" applyNumberFormat="1" applyFont="1" applyFill="1" applyBorder="1" applyAlignment="1" applyProtection="1">
      <alignment horizontal="center" vertical="center"/>
      <protection locked="0"/>
    </xf>
    <xf numFmtId="0" fontId="61" fillId="0" borderId="33" xfId="40" applyFont="1" applyFill="1" applyBorder="1" applyAlignment="1" applyProtection="1">
      <alignment horizontal="centerContinuous" vertical="center" shrinkToFit="1"/>
      <protection locked="0"/>
    </xf>
    <xf numFmtId="0" fontId="0" fillId="0" borderId="50" xfId="40" applyFont="1" applyFill="1" applyBorder="1" applyAlignment="1" applyProtection="1">
      <alignment horizontal="centerContinuous" vertical="center" shrinkToFit="1"/>
      <protection locked="0"/>
    </xf>
    <xf numFmtId="0" fontId="10" fillId="20" borderId="82" xfId="40" quotePrefix="1" applyFont="1" applyFill="1" applyBorder="1" applyAlignment="1">
      <alignment horizontal="left" wrapText="1"/>
    </xf>
    <xf numFmtId="0" fontId="0" fillId="0" borderId="51" xfId="40" applyFont="1" applyFill="1" applyBorder="1" applyAlignment="1">
      <alignment horizontal="left" vertical="center"/>
    </xf>
    <xf numFmtId="0" fontId="48" fillId="0" borderId="49" xfId="40" applyFont="1" applyFill="1" applyBorder="1" applyAlignment="1" applyProtection="1">
      <alignment vertical="center"/>
      <protection locked="0"/>
    </xf>
    <xf numFmtId="165" fontId="48" fillId="20" borderId="70" xfId="40" applyNumberFormat="1" applyFont="1" applyFill="1" applyBorder="1" applyAlignment="1" applyProtection="1">
      <alignment horizontal="right" vertical="center"/>
      <protection locked="0"/>
    </xf>
    <xf numFmtId="165" fontId="48" fillId="26" borderId="77" xfId="40" applyNumberFormat="1" applyFont="1" applyFill="1" applyBorder="1" applyAlignment="1" applyProtection="1">
      <alignment horizontal="center" vertical="center"/>
      <protection locked="0"/>
    </xf>
    <xf numFmtId="0" fontId="49" fillId="0" borderId="33" xfId="40" applyFont="1" applyFill="1" applyBorder="1" applyAlignment="1" applyProtection="1">
      <alignment horizontal="centerContinuous" vertical="center"/>
      <protection locked="0"/>
    </xf>
    <xf numFmtId="0" fontId="48" fillId="0" borderId="50" xfId="40" applyFont="1" applyFill="1" applyBorder="1" applyAlignment="1" applyProtection="1">
      <alignment horizontal="centerContinuous" vertical="center"/>
      <protection locked="0"/>
    </xf>
    <xf numFmtId="0" fontId="56" fillId="20" borderId="0" xfId="40" applyFont="1" applyFill="1" applyAlignment="1">
      <alignment horizontal="center"/>
    </xf>
    <xf numFmtId="9" fontId="56" fillId="0" borderId="0" xfId="40" applyNumberFormat="1" applyFont="1" applyFill="1" applyAlignment="1">
      <alignment horizontal="center"/>
    </xf>
    <xf numFmtId="43" fontId="56" fillId="0" borderId="0" xfId="62" applyFont="1" applyFill="1" applyAlignment="1">
      <alignment horizontal="center"/>
    </xf>
    <xf numFmtId="0" fontId="10" fillId="20" borderId="10" xfId="60" applyFill="1" applyBorder="1"/>
    <xf numFmtId="9" fontId="10" fillId="0" borderId="10" xfId="60" applyNumberFormat="1" applyFill="1" applyBorder="1" applyAlignment="1">
      <alignment horizontal="center"/>
    </xf>
    <xf numFmtId="0" fontId="0" fillId="0" borderId="57" xfId="40" applyFont="1" applyFill="1" applyBorder="1" applyAlignment="1" applyProtection="1">
      <alignment horizontal="left" vertical="center" indent="2"/>
      <protection locked="0"/>
    </xf>
    <xf numFmtId="165" fontId="10" fillId="26" borderId="83" xfId="40" applyNumberFormat="1" applyFont="1" applyFill="1" applyBorder="1" applyAlignment="1" applyProtection="1">
      <alignment horizontal="right" vertical="center"/>
      <protection locked="0"/>
    </xf>
    <xf numFmtId="9" fontId="0" fillId="0" borderId="81" xfId="40" applyNumberFormat="1" applyFont="1" applyFill="1" applyBorder="1" applyAlignment="1" applyProtection="1">
      <alignment horizontal="center" vertical="center"/>
      <protection locked="0"/>
    </xf>
    <xf numFmtId="0" fontId="10" fillId="0" borderId="60" xfId="40" applyFont="1" applyFill="1" applyBorder="1" applyAlignment="1" applyProtection="1">
      <alignment horizontal="centerContinuous" vertical="center"/>
      <protection locked="0"/>
    </xf>
    <xf numFmtId="0" fontId="56" fillId="0" borderId="61" xfId="40" applyFont="1" applyFill="1" applyBorder="1" applyAlignment="1" applyProtection="1">
      <alignment horizontal="centerContinuous" vertical="center"/>
      <protection locked="0"/>
    </xf>
    <xf numFmtId="0" fontId="10" fillId="20" borderId="81" xfId="40" quotePrefix="1" applyFont="1" applyFill="1" applyBorder="1" applyAlignment="1">
      <alignment horizontal="left" wrapText="1"/>
    </xf>
    <xf numFmtId="0" fontId="0" fillId="0" borderId="65" xfId="40" applyFont="1" applyFill="1" applyBorder="1" applyAlignment="1" applyProtection="1">
      <alignment horizontal="left" vertical="center" indent="2"/>
      <protection locked="0"/>
    </xf>
    <xf numFmtId="168" fontId="60" fillId="20" borderId="62" xfId="61" applyNumberFormat="1" applyFont="1" applyFill="1" applyBorder="1" applyAlignment="1" applyProtection="1">
      <alignment horizontal="right" vertical="center" wrapText="1"/>
      <protection locked="0"/>
    </xf>
    <xf numFmtId="165" fontId="10" fillId="20" borderId="83" xfId="40" applyNumberFormat="1" applyFont="1" applyFill="1" applyBorder="1" applyAlignment="1" applyProtection="1">
      <alignment horizontal="right" vertical="center"/>
      <protection locked="0"/>
    </xf>
    <xf numFmtId="9" fontId="0" fillId="0" borderId="48" xfId="40" applyNumberFormat="1" applyFont="1" applyFill="1" applyBorder="1" applyAlignment="1" applyProtection="1">
      <alignment horizontal="center" vertical="center"/>
      <protection locked="0"/>
    </xf>
    <xf numFmtId="0" fontId="0" fillId="0" borderId="60" xfId="40" applyFont="1" applyFill="1" applyBorder="1" applyAlignment="1" applyProtection="1">
      <alignment horizontal="centerContinuous" vertical="center"/>
      <protection locked="0"/>
    </xf>
    <xf numFmtId="0" fontId="56" fillId="0" borderId="67" xfId="40" applyFont="1" applyFill="1" applyBorder="1" applyAlignment="1" applyProtection="1">
      <alignment horizontal="centerContinuous" vertical="center"/>
      <protection locked="0"/>
    </xf>
    <xf numFmtId="173" fontId="10" fillId="0" borderId="81" xfId="40" applyNumberFormat="1" applyFont="1" applyFill="1" applyBorder="1" applyAlignment="1" applyProtection="1">
      <alignment horizontal="center" vertical="center"/>
      <protection locked="0"/>
    </xf>
    <xf numFmtId="0" fontId="10" fillId="0" borderId="66" xfId="40" applyFont="1" applyFill="1" applyBorder="1" applyAlignment="1" applyProtection="1">
      <alignment horizontal="centerContinuous" vertical="center"/>
      <protection locked="0"/>
    </xf>
    <xf numFmtId="0" fontId="10" fillId="20" borderId="48" xfId="40" quotePrefix="1" applyFont="1" applyFill="1" applyBorder="1" applyAlignment="1">
      <alignment horizontal="left" wrapText="1"/>
    </xf>
    <xf numFmtId="0" fontId="0" fillId="0" borderId="51" xfId="40" applyFont="1" applyFill="1" applyBorder="1" applyAlignment="1" applyProtection="1">
      <alignment horizontal="left" vertical="center"/>
      <protection locked="0"/>
    </xf>
    <xf numFmtId="0" fontId="0" fillId="0" borderId="65" xfId="40" applyFont="1" applyFill="1" applyBorder="1" applyAlignment="1">
      <alignment horizontal="left" vertical="center" indent="2"/>
    </xf>
    <xf numFmtId="0" fontId="10" fillId="0" borderId="66" xfId="40" applyFont="1" applyFill="1" applyBorder="1" applyAlignment="1">
      <alignment horizontal="centerContinuous" vertical="center"/>
    </xf>
    <xf numFmtId="0" fontId="56" fillId="0" borderId="67" xfId="40" applyFont="1" applyFill="1" applyBorder="1" applyAlignment="1">
      <alignment horizontal="centerContinuous" vertical="center"/>
    </xf>
    <xf numFmtId="0" fontId="56" fillId="0" borderId="52" xfId="40" applyFont="1" applyFill="1" applyBorder="1" applyAlignment="1">
      <alignment vertical="center" wrapText="1"/>
    </xf>
    <xf numFmtId="165" fontId="10" fillId="20" borderId="84" xfId="40" applyNumberFormat="1" applyFont="1" applyFill="1" applyBorder="1" applyAlignment="1" applyProtection="1">
      <alignment horizontal="right" vertical="center"/>
      <protection locked="0"/>
    </xf>
    <xf numFmtId="44" fontId="10" fillId="0" borderId="52" xfId="61" applyFont="1" applyFill="1" applyBorder="1" applyAlignment="1">
      <alignment vertical="center" wrapText="1"/>
    </xf>
    <xf numFmtId="0" fontId="56" fillId="0" borderId="72" xfId="40" applyFont="1" applyFill="1" applyBorder="1" applyAlignment="1">
      <alignment vertical="center"/>
    </xf>
    <xf numFmtId="0" fontId="56" fillId="0" borderId="73" xfId="40" applyFont="1" applyFill="1" applyBorder="1" applyAlignment="1">
      <alignment horizontal="left" vertical="center"/>
    </xf>
    <xf numFmtId="165" fontId="10" fillId="26" borderId="84" xfId="40" applyNumberFormat="1" applyFont="1" applyFill="1" applyBorder="1" applyAlignment="1" applyProtection="1">
      <alignment horizontal="right" vertical="center"/>
      <protection locked="0"/>
    </xf>
    <xf numFmtId="0" fontId="0" fillId="0" borderId="78" xfId="40" applyFont="1" applyFill="1" applyBorder="1" applyAlignment="1">
      <alignment horizontal="left" vertical="center" indent="2"/>
    </xf>
    <xf numFmtId="168" fontId="60" fillId="20" borderId="69" xfId="61" applyNumberFormat="1" applyFont="1" applyFill="1" applyBorder="1" applyAlignment="1" applyProtection="1">
      <alignment horizontal="right" vertical="center" wrapText="1"/>
      <protection locked="0"/>
    </xf>
    <xf numFmtId="165" fontId="10" fillId="26" borderId="85" xfId="40" applyNumberFormat="1" applyFont="1" applyFill="1" applyBorder="1" applyAlignment="1" applyProtection="1">
      <alignment horizontal="right" vertical="center"/>
      <protection locked="0"/>
    </xf>
    <xf numFmtId="9" fontId="0" fillId="0" borderId="82" xfId="40" applyNumberFormat="1" applyFont="1" applyFill="1" applyBorder="1" applyAlignment="1" applyProtection="1">
      <alignment horizontal="center" vertical="center"/>
      <protection locked="0"/>
    </xf>
    <xf numFmtId="0" fontId="10" fillId="0" borderId="79" xfId="40" applyFont="1" applyFill="1" applyBorder="1" applyAlignment="1" applyProtection="1">
      <alignment horizontal="centerContinuous" vertical="center"/>
      <protection locked="0"/>
    </xf>
    <xf numFmtId="0" fontId="56" fillId="0" borderId="80" xfId="40" applyFont="1" applyFill="1" applyBorder="1" applyAlignment="1" applyProtection="1">
      <alignment horizontal="centerContinuous" vertical="center"/>
      <protection locked="0"/>
    </xf>
    <xf numFmtId="0" fontId="10" fillId="20" borderId="82" xfId="40" applyFont="1" applyFill="1" applyBorder="1" applyAlignment="1">
      <alignment horizontal="left" wrapText="1"/>
    </xf>
    <xf numFmtId="165" fontId="48" fillId="26" borderId="77" xfId="40" applyNumberFormat="1" applyFont="1" applyFill="1" applyBorder="1" applyAlignment="1" applyProtection="1">
      <alignment horizontal="right" vertical="center"/>
      <protection locked="0"/>
    </xf>
    <xf numFmtId="0" fontId="48" fillId="0" borderId="33" xfId="40" applyFont="1" applyFill="1" applyBorder="1" applyAlignment="1" applyProtection="1">
      <alignment horizontal="centerContinuous" vertical="center"/>
      <protection locked="0"/>
    </xf>
    <xf numFmtId="0" fontId="48" fillId="0" borderId="0" xfId="40" applyFont="1" applyFill="1" applyBorder="1" applyAlignment="1" applyProtection="1">
      <alignment vertical="center"/>
      <protection locked="0"/>
    </xf>
    <xf numFmtId="165" fontId="48" fillId="20" borderId="0" xfId="40" applyNumberFormat="1" applyFont="1" applyFill="1" applyBorder="1" applyAlignment="1" applyProtection="1">
      <alignment horizontal="right" vertical="center"/>
      <protection locked="0"/>
    </xf>
    <xf numFmtId="9" fontId="0" fillId="0" borderId="0" xfId="40" applyNumberFormat="1" applyFont="1" applyFill="1" applyBorder="1" applyAlignment="1" applyProtection="1">
      <alignment horizontal="center" vertical="center"/>
      <protection locked="0"/>
    </xf>
    <xf numFmtId="0" fontId="48" fillId="0" borderId="0" xfId="40" applyFont="1" applyFill="1" applyBorder="1" applyAlignment="1" applyProtection="1">
      <alignment horizontal="centerContinuous" vertical="center"/>
      <protection locked="0"/>
    </xf>
    <xf numFmtId="0" fontId="10" fillId="0" borderId="0" xfId="40" applyFont="1" applyFill="1" applyBorder="1" applyAlignment="1" applyProtection="1">
      <alignment horizontal="centerContinuous" vertical="center"/>
      <protection locked="0"/>
    </xf>
    <xf numFmtId="0" fontId="10" fillId="0" borderId="0" xfId="40" applyFont="1" applyFill="1" applyBorder="1" applyAlignment="1">
      <alignment vertical="center" wrapText="1"/>
    </xf>
    <xf numFmtId="0" fontId="56" fillId="0" borderId="0" xfId="40" applyFont="1" applyFill="1" applyBorder="1" applyAlignment="1">
      <alignment horizontal="left" vertical="center"/>
    </xf>
    <xf numFmtId="164" fontId="60" fillId="20" borderId="58" xfId="40" applyNumberFormat="1" applyFont="1" applyFill="1" applyBorder="1" applyAlignment="1" applyProtection="1">
      <alignment horizontal="right" vertical="center" wrapText="1"/>
      <protection locked="0"/>
    </xf>
    <xf numFmtId="0" fontId="60" fillId="20" borderId="62" xfId="40" applyFont="1" applyFill="1" applyBorder="1" applyAlignment="1" applyProtection="1">
      <alignment horizontal="right" vertical="center" wrapText="1"/>
      <protection locked="0"/>
    </xf>
    <xf numFmtId="9" fontId="56" fillId="0" borderId="0" xfId="40" applyNumberFormat="1" applyFont="1" applyFill="1" applyAlignment="1">
      <alignment wrapText="1"/>
    </xf>
    <xf numFmtId="0" fontId="60" fillId="20" borderId="58" xfId="40" applyFont="1" applyFill="1" applyBorder="1" applyAlignment="1" applyProtection="1">
      <alignment horizontal="right" vertical="center" wrapText="1"/>
      <protection locked="0"/>
    </xf>
    <xf numFmtId="0" fontId="0" fillId="0" borderId="78" xfId="40" applyFont="1" applyFill="1" applyBorder="1" applyAlignment="1" applyProtection="1">
      <alignment horizontal="left" vertical="center" indent="2"/>
      <protection locked="0"/>
    </xf>
    <xf numFmtId="0" fontId="60" fillId="20" borderId="69" xfId="40" applyFont="1" applyFill="1" applyBorder="1" applyAlignment="1" applyProtection="1">
      <alignment horizontal="right" vertical="center"/>
      <protection locked="0"/>
    </xf>
    <xf numFmtId="165" fontId="10" fillId="20" borderId="85" xfId="40" applyNumberFormat="1" applyFont="1" applyFill="1" applyBorder="1" applyAlignment="1" applyProtection="1">
      <alignment horizontal="right" vertical="center"/>
      <protection locked="0"/>
    </xf>
    <xf numFmtId="173" fontId="10" fillId="0" borderId="82" xfId="40" applyNumberFormat="1" applyFont="1" applyFill="1" applyBorder="1" applyAlignment="1" applyProtection="1">
      <alignment horizontal="center" vertical="center"/>
      <protection locked="0"/>
    </xf>
    <xf numFmtId="0" fontId="0" fillId="0" borderId="54" xfId="40" applyFont="1" applyFill="1" applyBorder="1" applyAlignment="1" applyProtection="1">
      <alignment vertical="center"/>
      <protection locked="0"/>
    </xf>
    <xf numFmtId="0" fontId="60" fillId="20" borderId="86" xfId="40" applyFont="1" applyFill="1" applyBorder="1" applyAlignment="1" applyProtection="1">
      <alignment horizontal="right" vertical="center" wrapText="1"/>
      <protection locked="0"/>
    </xf>
    <xf numFmtId="0" fontId="10" fillId="20" borderId="87" xfId="40" applyNumberFormat="1" applyFont="1" applyFill="1" applyBorder="1" applyAlignment="1" applyProtection="1">
      <alignment horizontal="center" vertical="center"/>
      <protection locked="0"/>
    </xf>
    <xf numFmtId="9" fontId="0" fillId="0" borderId="88" xfId="40" applyNumberFormat="1" applyFont="1" applyFill="1" applyBorder="1" applyAlignment="1" applyProtection="1">
      <alignment horizontal="center" vertical="center"/>
      <protection locked="0"/>
    </xf>
    <xf numFmtId="0" fontId="56" fillId="0" borderId="55" xfId="40" applyFont="1" applyFill="1" applyBorder="1" applyAlignment="1" applyProtection="1">
      <alignment horizontal="centerContinuous" vertical="center"/>
      <protection locked="0"/>
    </xf>
    <xf numFmtId="0" fontId="56" fillId="0" borderId="56" xfId="40" applyFont="1" applyFill="1" applyBorder="1" applyAlignment="1" applyProtection="1">
      <alignment horizontal="centerContinuous" vertical="center"/>
      <protection locked="0"/>
    </xf>
    <xf numFmtId="0" fontId="10" fillId="20" borderId="88" xfId="40" quotePrefix="1" applyFont="1" applyFill="1" applyBorder="1" applyAlignment="1">
      <alignment horizontal="left" wrapText="1"/>
    </xf>
    <xf numFmtId="0" fontId="56" fillId="0" borderId="52" xfId="40" applyFont="1" applyFill="1" applyBorder="1"/>
    <xf numFmtId="0" fontId="10" fillId="0" borderId="53" xfId="40" applyFont="1" applyFill="1" applyBorder="1" applyAlignment="1">
      <alignment horizontal="center" vertical="center"/>
    </xf>
    <xf numFmtId="0" fontId="10" fillId="0" borderId="53" xfId="40" applyFont="1" applyFill="1" applyBorder="1" applyAlignment="1">
      <alignment horizontal="center"/>
    </xf>
    <xf numFmtId="0" fontId="10" fillId="0" borderId="53" xfId="60" applyFill="1" applyBorder="1"/>
    <xf numFmtId="0" fontId="10" fillId="0" borderId="65" xfId="40" applyFont="1" applyFill="1" applyBorder="1" applyAlignment="1" applyProtection="1">
      <alignment vertical="center"/>
      <protection locked="0"/>
    </xf>
    <xf numFmtId="10" fontId="60" fillId="20" borderId="62" xfId="63" applyNumberFormat="1" applyFont="1" applyFill="1" applyBorder="1" applyAlignment="1" applyProtection="1">
      <alignment horizontal="right" vertical="center" wrapText="1"/>
      <protection locked="0"/>
    </xf>
    <xf numFmtId="10" fontId="10" fillId="20" borderId="64" xfId="40" applyNumberFormat="1" applyFont="1" applyFill="1" applyBorder="1" applyAlignment="1" applyProtection="1">
      <alignment horizontal="center" vertical="center"/>
      <protection locked="0"/>
    </xf>
    <xf numFmtId="0" fontId="56" fillId="0" borderId="66" xfId="40" applyFont="1" applyFill="1" applyBorder="1" applyAlignment="1" applyProtection="1">
      <alignment horizontal="centerContinuous" vertical="center"/>
      <protection locked="0"/>
    </xf>
    <xf numFmtId="0" fontId="0" fillId="0" borderId="78" xfId="40" applyFont="1" applyFill="1" applyBorder="1" applyAlignment="1" applyProtection="1">
      <alignment vertical="center"/>
      <protection locked="0"/>
    </xf>
    <xf numFmtId="169" fontId="10" fillId="20" borderId="69" xfId="40" applyNumberFormat="1" applyFont="1" applyFill="1" applyBorder="1" applyAlignment="1" applyProtection="1">
      <alignment horizontal="right" vertical="center"/>
      <protection locked="0"/>
    </xf>
    <xf numFmtId="165" fontId="48" fillId="26" borderId="75" xfId="40" applyNumberFormat="1" applyFont="1" applyFill="1" applyBorder="1" applyAlignment="1">
      <alignment horizontal="right" vertical="center"/>
    </xf>
    <xf numFmtId="9" fontId="48" fillId="0" borderId="82" xfId="40" applyNumberFormat="1" applyFont="1" applyFill="1" applyBorder="1" applyAlignment="1">
      <alignment horizontal="center" vertical="center"/>
    </xf>
    <xf numFmtId="0" fontId="56" fillId="0" borderId="79" xfId="40" applyFont="1" applyFill="1" applyBorder="1" applyAlignment="1" applyProtection="1">
      <alignment horizontal="centerContinuous" vertical="center"/>
      <protection locked="0"/>
    </xf>
    <xf numFmtId="0" fontId="56" fillId="0" borderId="53" xfId="40" applyFont="1" applyFill="1" applyBorder="1" applyAlignment="1">
      <alignment horizontal="center"/>
    </xf>
    <xf numFmtId="0" fontId="56" fillId="0" borderId="53" xfId="40" applyFont="1" applyFill="1" applyBorder="1"/>
    <xf numFmtId="0" fontId="56" fillId="0" borderId="51" xfId="40" applyFont="1" applyFill="1" applyBorder="1" applyAlignment="1">
      <alignment horizontal="left"/>
    </xf>
    <xf numFmtId="0" fontId="48" fillId="0" borderId="29" xfId="40" applyFont="1" applyFill="1" applyBorder="1" applyAlignment="1" applyProtection="1">
      <alignment vertical="center"/>
      <protection locked="0"/>
    </xf>
    <xf numFmtId="165" fontId="48" fillId="20" borderId="52" xfId="40" applyNumberFormat="1" applyFont="1" applyFill="1" applyBorder="1" applyAlignment="1" applyProtection="1">
      <alignment horizontal="right" vertical="center"/>
      <protection locked="0"/>
    </xf>
    <xf numFmtId="165" fontId="48" fillId="26" borderId="51" xfId="40" applyNumberFormat="1" applyFont="1" applyFill="1" applyBorder="1" applyAlignment="1">
      <alignment horizontal="right" vertical="center"/>
    </xf>
    <xf numFmtId="0" fontId="48" fillId="0" borderId="10" xfId="40" applyFont="1" applyFill="1" applyBorder="1" applyAlignment="1" applyProtection="1">
      <alignment horizontal="centerContinuous" vertical="center"/>
      <protection locked="0"/>
    </xf>
    <xf numFmtId="0" fontId="10" fillId="0" borderId="30" xfId="40" applyFont="1" applyFill="1" applyBorder="1" applyAlignment="1" applyProtection="1">
      <alignment horizontal="centerContinuous" vertical="center"/>
      <protection locked="0"/>
    </xf>
    <xf numFmtId="9" fontId="10" fillId="0" borderId="0" xfId="60" applyNumberFormat="1" applyFill="1" applyAlignment="1">
      <alignment horizontal="center"/>
    </xf>
    <xf numFmtId="9" fontId="48" fillId="0" borderId="23" xfId="40" applyNumberFormat="1" applyFont="1" applyFill="1" applyBorder="1" applyAlignment="1">
      <alignment horizontal="center" vertical="center"/>
    </xf>
    <xf numFmtId="165" fontId="48" fillId="0" borderId="10" xfId="40" applyNumberFormat="1" applyFont="1" applyFill="1" applyBorder="1" applyAlignment="1" applyProtection="1">
      <alignment horizontal="centerContinuous" vertical="center"/>
      <protection locked="0"/>
    </xf>
    <xf numFmtId="165" fontId="10" fillId="0" borderId="30" xfId="40" applyNumberFormat="1" applyFont="1" applyFill="1" applyBorder="1" applyAlignment="1" applyProtection="1">
      <alignment horizontal="centerContinuous" vertical="center"/>
      <protection locked="0"/>
    </xf>
    <xf numFmtId="165" fontId="58" fillId="0" borderId="53" xfId="40" applyNumberFormat="1" applyFont="1" applyFill="1" applyBorder="1" applyAlignment="1">
      <alignment horizontal="center" vertical="center"/>
    </xf>
    <xf numFmtId="0" fontId="10" fillId="0" borderId="0" xfId="40" applyFont="1" applyFill="1" applyAlignment="1" applyProtection="1">
      <alignment vertical="center"/>
      <protection locked="0"/>
    </xf>
    <xf numFmtId="165" fontId="10" fillId="20" borderId="0" xfId="40" applyNumberFormat="1" applyFont="1" applyFill="1" applyAlignment="1" applyProtection="1">
      <alignment horizontal="center" vertical="center"/>
      <protection locked="0"/>
    </xf>
    <xf numFmtId="0" fontId="56" fillId="20" borderId="0" xfId="40" applyFont="1" applyFill="1" applyAlignment="1">
      <alignment vertical="center" wrapText="1"/>
    </xf>
    <xf numFmtId="0" fontId="56" fillId="0" borderId="0" xfId="40" applyFont="1" applyFill="1" applyAlignment="1">
      <alignment vertical="center" wrapText="1"/>
    </xf>
    <xf numFmtId="165" fontId="10" fillId="0" borderId="0" xfId="40" applyNumberFormat="1" applyFont="1" applyFill="1" applyAlignment="1" applyProtection="1">
      <alignment horizontal="center" vertical="center"/>
      <protection locked="0"/>
    </xf>
    <xf numFmtId="0" fontId="10" fillId="0" borderId="0" xfId="40" applyFont="1" applyFill="1" applyAlignment="1" applyProtection="1">
      <alignment horizontal="center" vertical="center"/>
      <protection locked="0"/>
    </xf>
    <xf numFmtId="0" fontId="10" fillId="0" borderId="0" xfId="40" applyFont="1" applyFill="1" applyAlignment="1">
      <alignment horizontal="center" vertical="center"/>
    </xf>
    <xf numFmtId="0" fontId="56" fillId="0" borderId="0" xfId="40" applyFont="1" applyFill="1" applyAlignment="1">
      <alignment vertical="center"/>
    </xf>
    <xf numFmtId="0" fontId="48" fillId="20" borderId="32" xfId="40" applyFont="1" applyFill="1" applyBorder="1" applyAlignment="1">
      <alignment horizontal="center"/>
    </xf>
    <xf numFmtId="2" fontId="10" fillId="20" borderId="0" xfId="40" applyNumberFormat="1" applyFont="1" applyFill="1" applyBorder="1" applyAlignment="1" applyProtection="1">
      <alignment horizontal="center" vertical="center"/>
      <protection locked="0"/>
    </xf>
    <xf numFmtId="0" fontId="10" fillId="20" borderId="0" xfId="40" applyFont="1" applyFill="1" applyBorder="1" applyAlignment="1" applyProtection="1">
      <alignment horizontal="center" vertical="center"/>
      <protection locked="0"/>
    </xf>
    <xf numFmtId="0" fontId="10" fillId="0" borderId="0" xfId="40" applyFont="1" applyFill="1" applyBorder="1" applyAlignment="1" applyProtection="1">
      <alignment horizontal="center" vertical="center"/>
      <protection locked="0"/>
    </xf>
    <xf numFmtId="0" fontId="48" fillId="20" borderId="0" xfId="40" applyFont="1" applyFill="1" applyAlignment="1">
      <alignment horizontal="center" wrapText="1"/>
    </xf>
    <xf numFmtId="0" fontId="56" fillId="0" borderId="0" xfId="40" applyFont="1" applyFill="1" applyBorder="1"/>
    <xf numFmtId="0" fontId="0" fillId="0" borderId="88" xfId="40" applyFont="1" applyFill="1" applyBorder="1" applyAlignment="1">
      <alignment vertical="center"/>
    </xf>
    <xf numFmtId="4" fontId="10" fillId="20" borderId="88" xfId="40" applyNumberFormat="1" applyFont="1" applyFill="1" applyBorder="1" applyAlignment="1">
      <alignment horizontal="center" vertical="center"/>
    </xf>
    <xf numFmtId="0" fontId="10" fillId="20" borderId="89" xfId="40" applyFont="1" applyFill="1" applyBorder="1" applyAlignment="1">
      <alignment horizontal="left" wrapText="1"/>
    </xf>
    <xf numFmtId="0" fontId="0" fillId="0" borderId="82" xfId="40" applyFont="1" applyFill="1" applyBorder="1" applyAlignment="1" applyProtection="1">
      <alignment vertical="center"/>
      <protection locked="0"/>
    </xf>
    <xf numFmtId="4" fontId="10" fillId="20" borderId="82" xfId="40" applyNumberFormat="1" applyFont="1" applyFill="1" applyBorder="1" applyAlignment="1" applyProtection="1">
      <alignment horizontal="center" vertical="center"/>
      <protection locked="0"/>
    </xf>
    <xf numFmtId="0" fontId="10" fillId="0" borderId="0" xfId="40" applyFont="1" applyFill="1" applyAlignment="1" applyProtection="1">
      <alignment horizontal="left" vertical="center"/>
      <protection locked="0"/>
    </xf>
    <xf numFmtId="0" fontId="0" fillId="0" borderId="35" xfId="40" applyFont="1" applyFill="1" applyBorder="1" applyAlignment="1" applyProtection="1">
      <alignment vertical="center"/>
      <protection locked="0"/>
    </xf>
    <xf numFmtId="4" fontId="10" fillId="20" borderId="35" xfId="40" applyNumberFormat="1" applyFont="1" applyFill="1" applyBorder="1" applyAlignment="1" applyProtection="1">
      <alignment horizontal="center" vertical="center"/>
      <protection locked="0"/>
    </xf>
    <xf numFmtId="0" fontId="10" fillId="20" borderId="0" xfId="40" applyFont="1" applyFill="1" applyAlignment="1">
      <alignment horizontal="center" vertical="center"/>
    </xf>
    <xf numFmtId="0" fontId="0" fillId="0" borderId="0" xfId="40" applyFont="1" applyFill="1" applyAlignment="1" applyProtection="1">
      <alignment vertical="center"/>
      <protection locked="0"/>
    </xf>
    <xf numFmtId="4" fontId="10" fillId="20" borderId="0" xfId="40" applyNumberFormat="1" applyFont="1" applyFill="1" applyAlignment="1" applyProtection="1">
      <alignment horizontal="center" vertical="center"/>
      <protection locked="0"/>
    </xf>
    <xf numFmtId="0" fontId="10" fillId="0" borderId="54" xfId="40" applyFont="1" applyFill="1" applyBorder="1" applyAlignment="1" applyProtection="1">
      <alignment vertical="center"/>
      <protection locked="0"/>
    </xf>
    <xf numFmtId="165" fontId="10" fillId="20" borderId="88" xfId="40" applyNumberFormat="1" applyFont="1" applyFill="1" applyBorder="1" applyAlignment="1" applyProtection="1">
      <alignment horizontal="right" vertical="center"/>
      <protection locked="0"/>
    </xf>
    <xf numFmtId="0" fontId="48" fillId="0" borderId="78" xfId="40" applyFont="1" applyFill="1" applyBorder="1" applyAlignment="1" applyProtection="1">
      <alignment vertical="center"/>
      <protection locked="0"/>
    </xf>
    <xf numFmtId="165" fontId="48" fillId="20" borderId="82" xfId="40" applyNumberFormat="1" applyFont="1" applyFill="1" applyBorder="1" applyAlignment="1" applyProtection="1">
      <alignment horizontal="right" vertical="center"/>
      <protection locked="0"/>
    </xf>
    <xf numFmtId="0" fontId="48" fillId="0" borderId="0" xfId="40" applyFont="1" applyFill="1" applyBorder="1" applyAlignment="1">
      <alignment horizontal="center" vertical="center"/>
    </xf>
    <xf numFmtId="0" fontId="0" fillId="0" borderId="49" xfId="40" applyFont="1" applyFill="1" applyBorder="1" applyAlignment="1">
      <alignment horizontal="left" vertical="center"/>
    </xf>
    <xf numFmtId="165" fontId="65" fillId="20" borderId="35" xfId="40" applyNumberFormat="1" applyFont="1" applyFill="1" applyBorder="1" applyAlignment="1" applyProtection="1">
      <alignment horizontal="right" vertical="center"/>
      <protection locked="0"/>
    </xf>
    <xf numFmtId="0" fontId="10" fillId="20" borderId="0" xfId="40" applyFont="1" applyFill="1" applyAlignment="1" applyProtection="1">
      <alignment horizontal="center" vertical="center"/>
      <protection locked="0"/>
    </xf>
    <xf numFmtId="0" fontId="10" fillId="0" borderId="0" xfId="40" applyFont="1" applyFill="1" applyBorder="1" applyAlignment="1">
      <alignment horizontal="left" vertical="center"/>
    </xf>
    <xf numFmtId="165" fontId="10" fillId="20" borderId="0" xfId="40" applyNumberFormat="1" applyFont="1" applyFill="1" applyBorder="1" applyAlignment="1" applyProtection="1">
      <alignment horizontal="right" vertical="center"/>
      <protection locked="0"/>
    </xf>
    <xf numFmtId="0" fontId="48" fillId="0" borderId="14" xfId="40" applyFont="1" applyFill="1" applyBorder="1" applyAlignment="1" applyProtection="1">
      <alignment vertical="center"/>
      <protection locked="0"/>
    </xf>
    <xf numFmtId="0" fontId="10" fillId="20" borderId="15" xfId="40" applyFont="1" applyFill="1" applyBorder="1" applyAlignment="1" applyProtection="1">
      <alignment horizontal="center" vertical="center"/>
      <protection locked="0"/>
    </xf>
    <xf numFmtId="168" fontId="10" fillId="20" borderId="15" xfId="59" applyNumberFormat="1" applyFont="1" applyFill="1" applyBorder="1" applyAlignment="1">
      <alignment vertical="center"/>
    </xf>
    <xf numFmtId="168" fontId="10" fillId="0" borderId="15" xfId="59" applyNumberFormat="1" applyFont="1" applyFill="1" applyBorder="1" applyAlignment="1">
      <alignment vertical="center"/>
    </xf>
    <xf numFmtId="165" fontId="10" fillId="0" borderId="15" xfId="40" applyNumberFormat="1" applyFont="1" applyFill="1" applyBorder="1" applyAlignment="1" applyProtection="1">
      <alignment horizontal="center" vertical="center"/>
      <protection locked="0"/>
    </xf>
    <xf numFmtId="0" fontId="10" fillId="0" borderId="16" xfId="40" applyFont="1" applyFill="1" applyBorder="1" applyAlignment="1" applyProtection="1">
      <alignment horizontal="center" vertical="center"/>
      <protection locked="0"/>
    </xf>
    <xf numFmtId="0" fontId="10" fillId="0" borderId="19" xfId="40" applyFont="1" applyFill="1" applyBorder="1" applyAlignment="1" applyProtection="1">
      <alignment vertical="center"/>
      <protection locked="0"/>
    </xf>
    <xf numFmtId="0" fontId="10" fillId="20" borderId="20" xfId="40" applyFont="1" applyFill="1" applyBorder="1" applyAlignment="1" applyProtection="1">
      <alignment horizontal="center" vertical="center"/>
      <protection locked="0"/>
    </xf>
    <xf numFmtId="165" fontId="10" fillId="20" borderId="20" xfId="40" applyNumberFormat="1" applyFont="1" applyFill="1" applyBorder="1" applyAlignment="1" applyProtection="1">
      <alignment horizontal="center" vertical="center"/>
      <protection locked="0"/>
    </xf>
    <xf numFmtId="165" fontId="10" fillId="0" borderId="20" xfId="40" applyNumberFormat="1" applyFont="1" applyFill="1" applyBorder="1" applyAlignment="1" applyProtection="1">
      <alignment horizontal="center" vertical="center"/>
      <protection locked="0"/>
    </xf>
    <xf numFmtId="0" fontId="10" fillId="0" borderId="21" xfId="40" applyFont="1" applyFill="1" applyBorder="1" applyAlignment="1" applyProtection="1">
      <alignment horizontal="center" vertical="center"/>
      <protection locked="0"/>
    </xf>
    <xf numFmtId="0" fontId="10" fillId="20" borderId="32" xfId="40" applyFont="1" applyFill="1" applyBorder="1" applyAlignment="1">
      <alignment horizontal="center"/>
    </xf>
    <xf numFmtId="0" fontId="58" fillId="0" borderId="33" xfId="40" applyFont="1" applyFill="1" applyBorder="1"/>
    <xf numFmtId="0" fontId="56" fillId="20" borderId="33" xfId="40" applyFont="1" applyFill="1" applyBorder="1" applyAlignment="1">
      <alignment horizontal="center"/>
    </xf>
    <xf numFmtId="0" fontId="56" fillId="0" borderId="33" xfId="40" applyFont="1" applyFill="1" applyBorder="1" applyAlignment="1">
      <alignment horizontal="center"/>
    </xf>
    <xf numFmtId="0" fontId="10" fillId="20" borderId="33" xfId="40" applyFont="1" applyFill="1" applyBorder="1" applyAlignment="1">
      <alignment horizontal="center"/>
    </xf>
    <xf numFmtId="0" fontId="58" fillId="0" borderId="90" xfId="40" applyFont="1" applyFill="1" applyBorder="1" applyAlignment="1">
      <alignment horizontal="center"/>
    </xf>
    <xf numFmtId="0" fontId="58" fillId="0" borderId="0" xfId="40" applyFont="1" applyFill="1" applyBorder="1"/>
    <xf numFmtId="0" fontId="56" fillId="20" borderId="0" xfId="40" applyFont="1" applyFill="1" applyBorder="1" applyAlignment="1">
      <alignment horizontal="center"/>
    </xf>
    <xf numFmtId="0" fontId="56" fillId="0" borderId="0" xfId="40" applyFont="1" applyFill="1" applyBorder="1" applyAlignment="1">
      <alignment horizontal="center"/>
    </xf>
    <xf numFmtId="0" fontId="58" fillId="0" borderId="51" xfId="40" applyFont="1" applyFill="1" applyBorder="1" applyAlignment="1">
      <alignment horizontal="left"/>
    </xf>
    <xf numFmtId="2" fontId="60" fillId="20" borderId="89" xfId="40" applyNumberFormat="1" applyFont="1" applyFill="1" applyBorder="1" applyAlignment="1" applyProtection="1">
      <alignment horizontal="center"/>
      <protection locked="0"/>
    </xf>
    <xf numFmtId="0" fontId="56" fillId="20" borderId="0" xfId="40" applyFont="1" applyFill="1" applyAlignment="1">
      <alignment horizontal="left"/>
    </xf>
    <xf numFmtId="0" fontId="56" fillId="0" borderId="0" xfId="40" applyFont="1" applyFill="1" applyAlignment="1">
      <alignment horizontal="left"/>
    </xf>
    <xf numFmtId="0" fontId="0" fillId="20" borderId="89" xfId="40" applyFont="1" applyFill="1" applyBorder="1" applyAlignment="1">
      <alignment horizontal="left" wrapText="1"/>
    </xf>
    <xf numFmtId="0" fontId="10" fillId="27" borderId="52" xfId="60" applyFill="1" applyBorder="1"/>
    <xf numFmtId="0" fontId="56" fillId="0" borderId="90" xfId="40" applyFont="1" applyFill="1" applyBorder="1" applyAlignment="1">
      <alignment horizontal="center"/>
    </xf>
    <xf numFmtId="0" fontId="10" fillId="0" borderId="53" xfId="60" applyBorder="1" applyAlignment="1">
      <alignment horizontal="center"/>
    </xf>
    <xf numFmtId="0" fontId="10" fillId="0" borderId="51" xfId="60" applyBorder="1" applyAlignment="1">
      <alignment horizontal="left"/>
    </xf>
    <xf numFmtId="0" fontId="60" fillId="20" borderId="89" xfId="40" applyFont="1" applyFill="1" applyBorder="1" applyAlignment="1" applyProtection="1">
      <alignment horizontal="center"/>
      <protection locked="0"/>
    </xf>
    <xf numFmtId="0" fontId="10" fillId="0" borderId="0" xfId="60" applyBorder="1"/>
    <xf numFmtId="0" fontId="10" fillId="0" borderId="0" xfId="60" applyBorder="1" applyAlignment="1">
      <alignment horizontal="center"/>
    </xf>
    <xf numFmtId="0" fontId="10" fillId="0" borderId="0" xfId="60" applyBorder="1" applyAlignment="1">
      <alignment horizontal="left"/>
    </xf>
    <xf numFmtId="0" fontId="10" fillId="0" borderId="0" xfId="60" applyAlignment="1">
      <alignment horizontal="center"/>
    </xf>
    <xf numFmtId="171" fontId="56" fillId="0" borderId="52" xfId="40" applyNumberFormat="1" applyFont="1" applyFill="1" applyBorder="1" applyAlignment="1">
      <alignment horizontal="center"/>
    </xf>
    <xf numFmtId="171" fontId="56" fillId="0" borderId="53" xfId="40" applyNumberFormat="1" applyFont="1" applyFill="1" applyBorder="1" applyAlignment="1">
      <alignment horizontal="center"/>
    </xf>
    <xf numFmtId="0" fontId="56" fillId="0" borderId="0" xfId="40" applyFont="1" applyFill="1" applyAlignment="1">
      <alignment horizontal="right"/>
    </xf>
    <xf numFmtId="0" fontId="56" fillId="27" borderId="53" xfId="40" applyFont="1" applyFill="1" applyBorder="1" applyAlignment="1">
      <alignment horizontal="center"/>
    </xf>
    <xf numFmtId="0" fontId="56" fillId="27" borderId="90" xfId="40" applyFont="1" applyFill="1" applyBorder="1" applyAlignment="1">
      <alignment horizontal="center"/>
    </xf>
    <xf numFmtId="0" fontId="63" fillId="20" borderId="89" xfId="40" applyFont="1" applyFill="1" applyBorder="1" applyAlignment="1" applyProtection="1">
      <alignment horizontal="center"/>
    </xf>
    <xf numFmtId="0" fontId="10" fillId="20" borderId="89" xfId="40" applyFont="1" applyFill="1" applyBorder="1" applyAlignment="1">
      <alignment horizontal="center" wrapText="1"/>
    </xf>
    <xf numFmtId="0" fontId="10" fillId="0" borderId="52" xfId="60" applyBorder="1"/>
    <xf numFmtId="0" fontId="10" fillId="0" borderId="0" xfId="60" applyFill="1" applyAlignment="1">
      <alignment horizontal="center"/>
    </xf>
    <xf numFmtId="2" fontId="10" fillId="0" borderId="52" xfId="40" applyNumberFormat="1" applyFont="1" applyFill="1" applyBorder="1" applyAlignment="1" applyProtection="1">
      <alignment horizontal="center" vertical="center"/>
      <protection locked="0"/>
    </xf>
    <xf numFmtId="178" fontId="48" fillId="0" borderId="53" xfId="40" applyNumberFormat="1" applyFont="1" applyFill="1" applyBorder="1" applyAlignment="1" applyProtection="1">
      <alignment horizontal="center" vertical="center"/>
      <protection locked="0"/>
    </xf>
    <xf numFmtId="0" fontId="10" fillId="0" borderId="53" xfId="60" applyFill="1" applyBorder="1" applyAlignment="1">
      <alignment horizontal="center"/>
    </xf>
    <xf numFmtId="0" fontId="10" fillId="0" borderId="10" xfId="60" applyFill="1" applyBorder="1"/>
    <xf numFmtId="2" fontId="10" fillId="0" borderId="10" xfId="40" applyNumberFormat="1" applyFont="1" applyFill="1" applyBorder="1" applyAlignment="1" applyProtection="1">
      <alignment horizontal="center" vertical="center"/>
      <protection locked="0"/>
    </xf>
    <xf numFmtId="0" fontId="56" fillId="0" borderId="10" xfId="40" applyFont="1" applyFill="1" applyBorder="1" applyAlignment="1">
      <alignment horizontal="center"/>
    </xf>
    <xf numFmtId="0" fontId="10" fillId="0" borderId="10" xfId="60" applyFill="1" applyBorder="1" applyAlignment="1">
      <alignment horizontal="center"/>
    </xf>
    <xf numFmtId="0" fontId="10" fillId="0" borderId="10" xfId="60" applyFill="1" applyBorder="1" applyAlignment="1">
      <alignment horizontal="left"/>
    </xf>
    <xf numFmtId="2" fontId="10" fillId="0" borderId="53" xfId="40" applyNumberFormat="1" applyFont="1" applyFill="1" applyBorder="1" applyAlignment="1" applyProtection="1">
      <alignment horizontal="center" vertical="center"/>
      <protection locked="0"/>
    </xf>
    <xf numFmtId="178" fontId="60" fillId="20" borderId="89" xfId="40" applyNumberFormat="1" applyFont="1" applyFill="1" applyBorder="1" applyAlignment="1" applyProtection="1">
      <alignment horizontal="center"/>
      <protection locked="0"/>
    </xf>
    <xf numFmtId="168" fontId="56" fillId="0" borderId="0" xfId="61" applyNumberFormat="1" applyFont="1" applyFill="1" applyAlignment="1">
      <alignment horizontal="left"/>
    </xf>
    <xf numFmtId="170" fontId="56" fillId="0" borderId="0" xfId="40" applyNumberFormat="1" applyFont="1" applyFill="1" applyBorder="1" applyAlignment="1">
      <alignment horizontal="center"/>
    </xf>
    <xf numFmtId="0" fontId="60" fillId="20" borderId="91" xfId="40" applyFont="1" applyFill="1" applyBorder="1" applyAlignment="1" applyProtection="1">
      <alignment horizontal="center"/>
      <protection locked="0"/>
    </xf>
    <xf numFmtId="0" fontId="56" fillId="20" borderId="0" xfId="40" applyFont="1" applyFill="1" applyBorder="1" applyAlignment="1">
      <alignment horizontal="left"/>
    </xf>
    <xf numFmtId="0" fontId="56" fillId="0" borderId="0" xfId="40" applyFont="1" applyFill="1" applyBorder="1" applyAlignment="1">
      <alignment horizontal="left"/>
    </xf>
    <xf numFmtId="170" fontId="56" fillId="0" borderId="53" xfId="40" applyNumberFormat="1" applyFont="1" applyFill="1" applyBorder="1" applyAlignment="1">
      <alignment horizontal="center"/>
    </xf>
    <xf numFmtId="164" fontId="60" fillId="20" borderId="89" xfId="40" applyNumberFormat="1" applyFont="1" applyFill="1" applyBorder="1" applyAlignment="1" applyProtection="1">
      <alignment horizontal="center"/>
      <protection locked="0"/>
    </xf>
    <xf numFmtId="0" fontId="56" fillId="20" borderId="0" xfId="40" applyFont="1" applyFill="1"/>
    <xf numFmtId="173" fontId="60" fillId="20" borderId="89" xfId="63" applyNumberFormat="1" applyFont="1" applyFill="1" applyBorder="1" applyAlignment="1" applyProtection="1">
      <alignment horizontal="center"/>
      <protection locked="0"/>
    </xf>
    <xf numFmtId="173" fontId="10" fillId="0" borderId="52" xfId="40" applyNumberFormat="1" applyFont="1" applyFill="1" applyBorder="1" applyAlignment="1">
      <alignment horizontal="center" vertical="center"/>
    </xf>
    <xf numFmtId="173" fontId="10" fillId="0" borderId="53" xfId="63" applyNumberFormat="1" applyFont="1" applyFill="1" applyBorder="1" applyAlignment="1" applyProtection="1">
      <alignment horizontal="center" vertical="center"/>
      <protection locked="0"/>
    </xf>
    <xf numFmtId="0" fontId="0" fillId="0" borderId="90" xfId="40" applyFont="1" applyFill="1" applyBorder="1" applyAlignment="1">
      <alignment horizontal="center" vertical="center"/>
    </xf>
    <xf numFmtId="0" fontId="60" fillId="20" borderId="89" xfId="40" applyNumberFormat="1" applyFont="1" applyFill="1" applyBorder="1" applyAlignment="1" applyProtection="1">
      <alignment horizontal="center"/>
      <protection locked="0"/>
    </xf>
    <xf numFmtId="2" fontId="0" fillId="0" borderId="90" xfId="40" applyNumberFormat="1" applyFont="1" applyFill="1" applyBorder="1" applyAlignment="1" applyProtection="1">
      <alignment horizontal="center" vertical="center"/>
      <protection locked="0"/>
    </xf>
    <xf numFmtId="2" fontId="10" fillId="0" borderId="0" xfId="40" applyNumberFormat="1" applyFont="1" applyFill="1" applyBorder="1" applyAlignment="1" applyProtection="1">
      <alignment horizontal="center" vertical="center"/>
      <protection locked="0"/>
    </xf>
    <xf numFmtId="2" fontId="0" fillId="0" borderId="0" xfId="40" applyNumberFormat="1" applyFont="1" applyFill="1" applyBorder="1" applyAlignment="1" applyProtection="1">
      <alignment horizontal="center" vertical="center"/>
      <protection locked="0"/>
    </xf>
    <xf numFmtId="165" fontId="60" fillId="20" borderId="89" xfId="40" applyNumberFormat="1" applyFont="1" applyFill="1" applyBorder="1" applyAlignment="1" applyProtection="1">
      <alignment horizontal="center"/>
      <protection locked="0"/>
    </xf>
    <xf numFmtId="165" fontId="56" fillId="0" borderId="53" xfId="40" applyNumberFormat="1" applyFont="1" applyFill="1" applyBorder="1" applyAlignment="1">
      <alignment horizontal="center"/>
    </xf>
    <xf numFmtId="0" fontId="10" fillId="0" borderId="92" xfId="40" applyFont="1" applyFill="1" applyBorder="1" applyAlignment="1" applyProtection="1">
      <alignment vertical="center"/>
      <protection locked="0"/>
    </xf>
    <xf numFmtId="10" fontId="60" fillId="20" borderId="89" xfId="63" applyNumberFormat="1" applyFont="1" applyFill="1" applyBorder="1" applyAlignment="1" applyProtection="1">
      <alignment horizontal="center"/>
      <protection locked="0"/>
    </xf>
    <xf numFmtId="10" fontId="56" fillId="0" borderId="53" xfId="63" applyNumberFormat="1" applyFont="1" applyFill="1" applyBorder="1" applyAlignment="1">
      <alignment horizontal="center"/>
    </xf>
    <xf numFmtId="0" fontId="0" fillId="0" borderId="0" xfId="40" applyFont="1" applyFill="1" applyBorder="1" applyAlignment="1" applyProtection="1">
      <alignment vertical="center"/>
      <protection locked="0"/>
    </xf>
    <xf numFmtId="5" fontId="56" fillId="20" borderId="89" xfId="61" applyNumberFormat="1" applyFont="1" applyFill="1" applyBorder="1" applyAlignment="1">
      <alignment horizontal="center"/>
    </xf>
    <xf numFmtId="165" fontId="10" fillId="0" borderId="52" xfId="60" applyNumberFormat="1" applyBorder="1"/>
    <xf numFmtId="0" fontId="10" fillId="0" borderId="53" xfId="60" applyBorder="1"/>
    <xf numFmtId="179" fontId="0" fillId="0" borderId="0" xfId="62" applyNumberFormat="1" applyFont="1" applyFill="1"/>
    <xf numFmtId="164" fontId="56" fillId="20" borderId="0" xfId="40" applyNumberFormat="1" applyFont="1" applyFill="1" applyAlignment="1">
      <alignment horizontal="center"/>
    </xf>
    <xf numFmtId="168" fontId="0" fillId="0" borderId="0" xfId="61" applyNumberFormat="1" applyFont="1"/>
    <xf numFmtId="0" fontId="56" fillId="20" borderId="0" xfId="40" applyFont="1" applyFill="1" applyAlignment="1">
      <alignment vertical="center"/>
    </xf>
    <xf numFmtId="0" fontId="56" fillId="0" borderId="0" xfId="40" applyFont="1" applyFill="1" applyBorder="1" applyAlignment="1">
      <alignment horizontal="right" vertical="center"/>
    </xf>
    <xf numFmtId="2" fontId="56" fillId="0" borderId="0" xfId="40" applyNumberFormat="1" applyFont="1" applyFill="1" applyBorder="1" applyAlignment="1">
      <alignment vertical="center"/>
    </xf>
    <xf numFmtId="0" fontId="56" fillId="0" borderId="0" xfId="40" quotePrefix="1" applyFont="1" applyFill="1" applyAlignment="1">
      <alignment vertical="center"/>
    </xf>
    <xf numFmtId="0" fontId="56" fillId="20" borderId="0" xfId="40" applyFont="1" applyFill="1" applyAlignment="1">
      <alignment horizontal="center" vertical="center"/>
    </xf>
    <xf numFmtId="0" fontId="56" fillId="0" borderId="0" xfId="40" applyFont="1" applyFill="1" applyAlignment="1">
      <alignment horizontal="center" vertical="center"/>
    </xf>
    <xf numFmtId="0" fontId="10" fillId="20" borderId="0" xfId="40" applyFont="1" applyFill="1" applyAlignment="1">
      <alignment horizontal="center" vertical="center" wrapText="1"/>
    </xf>
    <xf numFmtId="2" fontId="0" fillId="20" borderId="23" xfId="0" applyNumberFormat="1" applyFill="1" applyBorder="1" applyAlignment="1">
      <alignment horizontal="center"/>
    </xf>
    <xf numFmtId="4" fontId="0" fillId="20" borderId="0" xfId="0" applyNumberFormat="1" applyFill="1" applyAlignment="1" applyProtection="1">
      <alignment horizontal="center"/>
      <protection locked="0"/>
    </xf>
    <xf numFmtId="0" fontId="9" fillId="20" borderId="48" xfId="40" applyFont="1" applyFill="1" applyBorder="1" applyAlignment="1">
      <alignment horizontal="left" wrapText="1"/>
    </xf>
    <xf numFmtId="0" fontId="8" fillId="20" borderId="89" xfId="40" applyFont="1" applyFill="1" applyBorder="1" applyAlignment="1">
      <alignment horizontal="left" wrapText="1"/>
    </xf>
    <xf numFmtId="4" fontId="60" fillId="20" borderId="89" xfId="40" applyNumberFormat="1" applyFont="1" applyFill="1" applyBorder="1" applyAlignment="1" applyProtection="1">
      <alignment horizontal="center"/>
      <protection locked="0"/>
    </xf>
    <xf numFmtId="1" fontId="60" fillId="20" borderId="89" xfId="40" applyNumberFormat="1" applyFont="1" applyFill="1" applyBorder="1" applyAlignment="1" applyProtection="1">
      <alignment horizontal="center"/>
      <protection locked="0"/>
    </xf>
    <xf numFmtId="3" fontId="60" fillId="20" borderId="89" xfId="40" applyNumberFormat="1" applyFont="1" applyFill="1" applyBorder="1" applyAlignment="1" applyProtection="1">
      <alignment horizontal="center"/>
      <protection locked="0"/>
    </xf>
    <xf numFmtId="173" fontId="0" fillId="20" borderId="23" xfId="0" applyNumberFormat="1" applyFill="1" applyBorder="1" applyAlignment="1">
      <alignment horizontal="center"/>
    </xf>
    <xf numFmtId="178" fontId="0" fillId="20" borderId="23" xfId="0" applyNumberFormat="1" applyFill="1" applyBorder="1" applyAlignment="1">
      <alignment horizontal="center"/>
    </xf>
    <xf numFmtId="0" fontId="7" fillId="20" borderId="48" xfId="40" applyFont="1" applyFill="1" applyBorder="1" applyAlignment="1">
      <alignment horizontal="left" wrapText="1"/>
    </xf>
    <xf numFmtId="171" fontId="0" fillId="0" borderId="23" xfId="0" applyNumberFormat="1" applyFill="1" applyBorder="1" applyAlignment="1">
      <alignment horizontal="center"/>
    </xf>
    <xf numFmtId="0" fontId="12" fillId="20" borderId="0" xfId="0" applyFont="1" applyFill="1" applyBorder="1" applyAlignment="1" applyProtection="1">
      <alignment horizontal="left" indent="1"/>
      <protection locked="0"/>
    </xf>
    <xf numFmtId="0" fontId="0" fillId="0" borderId="0" xfId="0" applyBorder="1"/>
    <xf numFmtId="3" fontId="0" fillId="20" borderId="0" xfId="0" applyNumberFormat="1" applyFill="1" applyBorder="1" applyAlignment="1" applyProtection="1">
      <alignment horizontal="right"/>
      <protection locked="0"/>
    </xf>
    <xf numFmtId="171" fontId="0" fillId="20" borderId="0" xfId="0" applyNumberFormat="1" applyFill="1" applyAlignment="1">
      <alignment horizontal="center"/>
    </xf>
    <xf numFmtId="0" fontId="6" fillId="22" borderId="23" xfId="52" applyFont="1" applyFill="1" applyBorder="1" applyAlignment="1">
      <alignment horizontal="center" vertical="center" wrapText="1"/>
    </xf>
    <xf numFmtId="9" fontId="11" fillId="0" borderId="23" xfId="52" quotePrefix="1" applyNumberFormat="1" applyFill="1" applyBorder="1" applyAlignment="1">
      <alignment horizontal="center"/>
    </xf>
    <xf numFmtId="10" fontId="0" fillId="21" borderId="23" xfId="53" applyNumberFormat="1" applyFont="1" applyFill="1" applyBorder="1" applyAlignment="1">
      <alignment horizontal="center"/>
    </xf>
    <xf numFmtId="164" fontId="0" fillId="20" borderId="0" xfId="0" applyNumberFormat="1" applyFill="1"/>
    <xf numFmtId="165" fontId="10" fillId="20" borderId="0" xfId="40" applyNumberFormat="1" applyFont="1" applyFill="1" applyAlignment="1">
      <alignment horizontal="center" vertical="center"/>
    </xf>
    <xf numFmtId="0" fontId="48" fillId="0" borderId="29" xfId="60" applyFont="1" applyFill="1" applyBorder="1" applyAlignment="1">
      <alignment horizontal="center"/>
    </xf>
    <xf numFmtId="0" fontId="0" fillId="0" borderId="67" xfId="40" applyFont="1" applyFill="1" applyBorder="1" applyAlignment="1">
      <alignment horizontal="center" vertical="center"/>
    </xf>
    <xf numFmtId="0" fontId="0" fillId="0" borderId="65" xfId="40" applyFont="1" applyFill="1" applyBorder="1" applyAlignment="1">
      <alignment horizontal="center" vertical="center"/>
    </xf>
    <xf numFmtId="0" fontId="0" fillId="0" borderId="61" xfId="40" applyFont="1" applyFill="1" applyBorder="1" applyAlignment="1">
      <alignment horizontal="center" vertical="center"/>
    </xf>
    <xf numFmtId="0" fontId="0" fillId="0" borderId="57" xfId="40" applyFont="1" applyFill="1" applyBorder="1" applyAlignment="1">
      <alignment horizontal="center" vertical="center"/>
    </xf>
    <xf numFmtId="0" fontId="5" fillId="0" borderId="67" xfId="40" applyFont="1" applyFill="1" applyBorder="1" applyAlignment="1">
      <alignment horizontal="centerContinuous" vertical="center"/>
    </xf>
    <xf numFmtId="0" fontId="5" fillId="0" borderId="81" xfId="40" applyFont="1" applyFill="1" applyBorder="1" applyAlignment="1">
      <alignment horizontal="left" wrapText="1"/>
    </xf>
    <xf numFmtId="0" fontId="5" fillId="0" borderId="65" xfId="40" applyFont="1" applyFill="1" applyBorder="1" applyAlignment="1">
      <alignment horizontal="centerContinuous" vertical="center"/>
    </xf>
    <xf numFmtId="0" fontId="5" fillId="0" borderId="48" xfId="40" applyFont="1" applyFill="1" applyBorder="1" applyAlignment="1">
      <alignment horizontal="left" wrapText="1"/>
    </xf>
    <xf numFmtId="0" fontId="5" fillId="0" borderId="82" xfId="40" applyFont="1" applyFill="1" applyBorder="1" applyAlignment="1">
      <alignment horizontal="left" wrapText="1"/>
    </xf>
    <xf numFmtId="9" fontId="5" fillId="0" borderId="35" xfId="40" applyNumberFormat="1" applyFont="1" applyFill="1" applyBorder="1" applyAlignment="1" applyProtection="1">
      <alignment horizontal="center" vertical="center"/>
      <protection locked="0"/>
    </xf>
    <xf numFmtId="9" fontId="5" fillId="0" borderId="81" xfId="40" applyNumberFormat="1" applyFont="1" applyFill="1" applyBorder="1" applyAlignment="1" applyProtection="1">
      <alignment horizontal="center" vertical="center"/>
      <protection locked="0"/>
    </xf>
    <xf numFmtId="0" fontId="13" fillId="20" borderId="22" xfId="0" applyFont="1" applyFill="1" applyBorder="1"/>
    <xf numFmtId="4" fontId="13" fillId="20" borderId="12" xfId="0" applyNumberFormat="1" applyFont="1" applyFill="1" applyBorder="1"/>
    <xf numFmtId="0" fontId="69" fillId="0" borderId="0" xfId="0" applyFont="1" applyAlignment="1">
      <alignment wrapText="1"/>
    </xf>
    <xf numFmtId="0" fontId="10" fillId="0" borderId="0" xfId="40" applyFont="1" applyFill="1" applyAlignment="1">
      <alignment horizontal="center" wrapText="1"/>
    </xf>
    <xf numFmtId="0" fontId="55" fillId="0" borderId="0" xfId="40" applyFont="1" applyFill="1" applyAlignment="1">
      <alignment horizontal="centerContinuous"/>
    </xf>
    <xf numFmtId="0" fontId="56" fillId="0" borderId="0" xfId="40" applyFont="1" applyFill="1"/>
    <xf numFmtId="0" fontId="56" fillId="0" borderId="0" xfId="40" applyFont="1" applyFill="1" applyAlignment="1">
      <alignment horizontal="center"/>
    </xf>
    <xf numFmtId="0" fontId="56" fillId="0" borderId="0" xfId="40" applyFont="1" applyFill="1" applyAlignment="1">
      <alignment wrapText="1"/>
    </xf>
    <xf numFmtId="0" fontId="57" fillId="0" borderId="32" xfId="40" applyFont="1" applyFill="1" applyBorder="1"/>
    <xf numFmtId="0" fontId="56" fillId="0" borderId="32" xfId="40" applyFont="1" applyFill="1" applyBorder="1" applyAlignment="1">
      <alignment horizontal="center"/>
    </xf>
    <xf numFmtId="0" fontId="56" fillId="0" borderId="0" xfId="40" applyFont="1" applyFill="1" applyBorder="1"/>
    <xf numFmtId="0" fontId="48" fillId="0" borderId="0" xfId="40" applyFont="1" applyFill="1" applyBorder="1" applyAlignment="1">
      <alignment horizontal="center" vertical="center"/>
    </xf>
    <xf numFmtId="0" fontId="56" fillId="0" borderId="0" xfId="40" applyFont="1" applyFill="1" applyAlignment="1">
      <alignment vertical="center"/>
    </xf>
    <xf numFmtId="0" fontId="56" fillId="0" borderId="0" xfId="40" applyFont="1" applyFill="1" applyBorder="1" applyAlignment="1">
      <alignment horizontal="right" vertical="center"/>
    </xf>
    <xf numFmtId="2" fontId="56" fillId="0" borderId="0" xfId="40" applyNumberFormat="1" applyFont="1" applyFill="1" applyBorder="1" applyAlignment="1">
      <alignment vertical="center"/>
    </xf>
    <xf numFmtId="0" fontId="56" fillId="0" borderId="0" xfId="40" applyFont="1" applyFill="1" applyBorder="1" applyAlignment="1">
      <alignment vertical="center"/>
    </xf>
    <xf numFmtId="0" fontId="56" fillId="0" borderId="0" xfId="40" applyFont="1" applyFill="1" applyAlignment="1">
      <alignment vertical="center" wrapText="1"/>
    </xf>
    <xf numFmtId="0" fontId="56" fillId="0" borderId="0" xfId="40" applyFont="1" applyFill="1" applyAlignment="1">
      <alignment horizontal="center" vertical="center"/>
    </xf>
    <xf numFmtId="0" fontId="48" fillId="0" borderId="0" xfId="40" applyFont="1" applyFill="1" applyBorder="1" applyAlignment="1" applyProtection="1">
      <alignment vertical="center"/>
      <protection locked="0"/>
    </xf>
    <xf numFmtId="0" fontId="48" fillId="0" borderId="29" xfId="40" applyFont="1" applyFill="1" applyBorder="1" applyAlignment="1" applyProtection="1">
      <alignment vertical="center"/>
      <protection locked="0"/>
    </xf>
    <xf numFmtId="0" fontId="48" fillId="0" borderId="49" xfId="40" applyFont="1" applyFill="1" applyBorder="1" applyAlignment="1" applyProtection="1">
      <alignment vertical="center"/>
      <protection locked="0"/>
    </xf>
    <xf numFmtId="0" fontId="48" fillId="0" borderId="50" xfId="40" applyFont="1" applyFill="1" applyBorder="1" applyAlignment="1" applyProtection="1">
      <alignment horizontal="centerContinuous" vertical="center"/>
      <protection locked="0"/>
    </xf>
    <xf numFmtId="0" fontId="56" fillId="0" borderId="67" xfId="40" applyFont="1" applyFill="1" applyBorder="1" applyAlignment="1">
      <alignment horizontal="centerContinuous" vertical="center"/>
    </xf>
    <xf numFmtId="0" fontId="56" fillId="0" borderId="0" xfId="40" applyFont="1" applyFill="1" applyAlignment="1">
      <alignment horizontal="right"/>
    </xf>
    <xf numFmtId="0" fontId="56" fillId="0" borderId="0" xfId="40" applyFont="1" applyFill="1" applyBorder="1" applyAlignment="1">
      <alignment horizontal="center"/>
    </xf>
    <xf numFmtId="0" fontId="56" fillId="0" borderId="0" xfId="40" applyFont="1" applyFill="1" applyAlignment="1">
      <alignment horizontal="left"/>
    </xf>
    <xf numFmtId="0" fontId="56" fillId="0" borderId="0" xfId="40" applyFont="1" applyFill="1" applyBorder="1" applyAlignment="1">
      <alignment horizontal="left"/>
    </xf>
    <xf numFmtId="0" fontId="58" fillId="0" borderId="52" xfId="40" applyFont="1" applyFill="1" applyBorder="1" applyAlignment="1">
      <alignment horizontal="center"/>
    </xf>
    <xf numFmtId="0" fontId="58" fillId="0" borderId="53" xfId="40" applyFont="1" applyFill="1" applyBorder="1" applyAlignment="1">
      <alignment horizontal="center"/>
    </xf>
    <xf numFmtId="0" fontId="58" fillId="0" borderId="51" xfId="40" applyFont="1" applyFill="1" applyBorder="1" applyAlignment="1">
      <alignment horizontal="center"/>
    </xf>
    <xf numFmtId="0" fontId="56" fillId="0" borderId="53" xfId="40" applyFont="1" applyFill="1" applyBorder="1" applyAlignment="1">
      <alignment horizontal="center"/>
    </xf>
    <xf numFmtId="171" fontId="56" fillId="0" borderId="53" xfId="40" applyNumberFormat="1" applyFont="1" applyFill="1" applyBorder="1" applyAlignment="1">
      <alignment horizontal="center"/>
    </xf>
    <xf numFmtId="171" fontId="56" fillId="0" borderId="52" xfId="40" applyNumberFormat="1" applyFont="1" applyFill="1" applyBorder="1" applyAlignment="1">
      <alignment horizontal="center"/>
    </xf>
    <xf numFmtId="165" fontId="56" fillId="0" borderId="53" xfId="40" applyNumberFormat="1" applyFont="1" applyFill="1" applyBorder="1" applyAlignment="1">
      <alignment horizontal="center"/>
    </xf>
    <xf numFmtId="170" fontId="56" fillId="0" borderId="53" xfId="40" applyNumberFormat="1" applyFont="1" applyFill="1" applyBorder="1" applyAlignment="1">
      <alignment horizontal="center"/>
    </xf>
    <xf numFmtId="0" fontId="48" fillId="0" borderId="10" xfId="40" applyFont="1" applyFill="1" applyBorder="1" applyAlignment="1" applyProtection="1">
      <alignment horizontal="centerContinuous" vertical="center"/>
      <protection locked="0"/>
    </xf>
    <xf numFmtId="0" fontId="48" fillId="0" borderId="33" xfId="40" applyFont="1" applyFill="1" applyBorder="1" applyAlignment="1" applyProtection="1">
      <alignment horizontal="centerContinuous" vertical="center"/>
      <protection locked="0"/>
    </xf>
    <xf numFmtId="165" fontId="58" fillId="0" borderId="53" xfId="40" applyNumberFormat="1" applyFont="1" applyFill="1" applyBorder="1" applyAlignment="1" applyProtection="1">
      <alignment horizontal="center" vertical="center"/>
      <protection locked="0"/>
    </xf>
    <xf numFmtId="165" fontId="56" fillId="0" borderId="53" xfId="40" applyNumberFormat="1" applyFont="1" applyFill="1" applyBorder="1" applyAlignment="1">
      <alignment horizontal="center" vertical="center"/>
    </xf>
    <xf numFmtId="165" fontId="58" fillId="0" borderId="53" xfId="40" applyNumberFormat="1" applyFont="1" applyFill="1" applyBorder="1" applyAlignment="1">
      <alignment horizontal="center" vertical="center"/>
    </xf>
    <xf numFmtId="165" fontId="48" fillId="0" borderId="70" xfId="40" applyNumberFormat="1" applyFont="1" applyFill="1" applyBorder="1" applyAlignment="1" applyProtection="1">
      <alignment horizontal="right" vertical="center"/>
      <protection locked="0"/>
    </xf>
    <xf numFmtId="0" fontId="56" fillId="0" borderId="33" xfId="40" applyFont="1" applyFill="1" applyBorder="1" applyAlignment="1">
      <alignment horizontal="center"/>
    </xf>
    <xf numFmtId="0" fontId="58" fillId="0" borderId="33" xfId="40" applyFont="1" applyFill="1" applyBorder="1"/>
    <xf numFmtId="0" fontId="58" fillId="0" borderId="0" xfId="40" applyFont="1" applyFill="1" applyBorder="1"/>
    <xf numFmtId="0" fontId="58" fillId="0" borderId="0" xfId="40" applyFont="1" applyFill="1" applyBorder="1" applyAlignment="1">
      <alignment horizontal="center"/>
    </xf>
    <xf numFmtId="0" fontId="56" fillId="0" borderId="55" xfId="40" applyFont="1" applyFill="1" applyBorder="1" applyAlignment="1" applyProtection="1">
      <alignment horizontal="centerContinuous" vertical="center"/>
      <protection locked="0"/>
    </xf>
    <xf numFmtId="0" fontId="56" fillId="0" borderId="56" xfId="40" applyFont="1" applyFill="1" applyBorder="1" applyAlignment="1" applyProtection="1">
      <alignment horizontal="centerContinuous" vertical="center"/>
      <protection locked="0"/>
    </xf>
    <xf numFmtId="0" fontId="56" fillId="0" borderId="66" xfId="40" applyFont="1" applyFill="1" applyBorder="1" applyAlignment="1" applyProtection="1">
      <alignment horizontal="centerContinuous" vertical="center"/>
      <protection locked="0"/>
    </xf>
    <xf numFmtId="0" fontId="56" fillId="0" borderId="67" xfId="40" applyFont="1" applyFill="1" applyBorder="1" applyAlignment="1" applyProtection="1">
      <alignment horizontal="centerContinuous" vertical="center"/>
      <protection locked="0"/>
    </xf>
    <xf numFmtId="0" fontId="56" fillId="0" borderId="79" xfId="40" applyFont="1" applyFill="1" applyBorder="1" applyAlignment="1" applyProtection="1">
      <alignment horizontal="centerContinuous" vertical="center"/>
      <protection locked="0"/>
    </xf>
    <xf numFmtId="0" fontId="56" fillId="0" borderId="80" xfId="40" applyFont="1" applyFill="1" applyBorder="1" applyAlignment="1" applyProtection="1">
      <alignment horizontal="centerContinuous" vertical="center"/>
      <protection locked="0"/>
    </xf>
    <xf numFmtId="0" fontId="48" fillId="0" borderId="49" xfId="40" applyFont="1" applyFill="1" applyBorder="1" applyAlignment="1" applyProtection="1">
      <alignment vertical="top"/>
      <protection locked="0"/>
    </xf>
    <xf numFmtId="165" fontId="48" fillId="0" borderId="70" xfId="40" applyNumberFormat="1" applyFont="1" applyFill="1" applyBorder="1" applyAlignment="1" applyProtection="1">
      <alignment horizontal="right" vertical="top"/>
      <protection locked="0"/>
    </xf>
    <xf numFmtId="0" fontId="48" fillId="0" borderId="23" xfId="40" applyFont="1" applyFill="1" applyBorder="1" applyAlignment="1">
      <alignment horizontal="center"/>
    </xf>
    <xf numFmtId="165" fontId="56" fillId="0" borderId="64" xfId="40" applyNumberFormat="1" applyFont="1" applyFill="1" applyBorder="1" applyAlignment="1">
      <alignment horizontal="center" vertical="top"/>
    </xf>
    <xf numFmtId="165" fontId="48" fillId="0" borderId="52" xfId="40" applyNumberFormat="1" applyFont="1" applyFill="1" applyBorder="1" applyAlignment="1" applyProtection="1">
      <alignment horizontal="right" vertical="center"/>
      <protection locked="0"/>
    </xf>
    <xf numFmtId="0" fontId="56" fillId="0" borderId="53" xfId="40" applyFont="1" applyFill="1" applyBorder="1" applyAlignment="1">
      <alignment vertical="center"/>
    </xf>
    <xf numFmtId="0" fontId="56" fillId="0" borderId="53" xfId="40" applyFont="1" applyFill="1" applyBorder="1"/>
    <xf numFmtId="0" fontId="56" fillId="0" borderId="52" xfId="40" applyFont="1" applyFill="1" applyBorder="1"/>
    <xf numFmtId="0" fontId="56" fillId="0" borderId="52" xfId="40" applyFont="1" applyFill="1" applyBorder="1" applyAlignment="1">
      <alignment vertical="center" wrapText="1"/>
    </xf>
    <xf numFmtId="165" fontId="48" fillId="0" borderId="10" xfId="40" applyNumberFormat="1" applyFont="1" applyFill="1" applyBorder="1" applyAlignment="1" applyProtection="1">
      <alignment horizontal="centerContinuous" vertical="center"/>
      <protection locked="0"/>
    </xf>
    <xf numFmtId="0" fontId="48" fillId="0" borderId="14" xfId="40" applyFont="1" applyFill="1" applyBorder="1" applyAlignment="1" applyProtection="1">
      <alignment vertical="center"/>
      <protection locked="0"/>
    </xf>
    <xf numFmtId="0" fontId="56" fillId="0" borderId="53" xfId="40" applyFont="1" applyFill="1" applyBorder="1" applyAlignment="1">
      <alignment horizontal="center" vertical="center"/>
    </xf>
    <xf numFmtId="165" fontId="60" fillId="0" borderId="62" xfId="40" applyNumberFormat="1" applyFont="1" applyFill="1" applyBorder="1" applyAlignment="1" applyProtection="1">
      <alignment horizontal="center" vertical="top"/>
      <protection locked="0"/>
    </xf>
    <xf numFmtId="165" fontId="60" fillId="0" borderId="69" xfId="40" applyNumberFormat="1" applyFont="1" applyFill="1" applyBorder="1" applyAlignment="1" applyProtection="1">
      <alignment horizontal="center" vertical="top"/>
      <protection locked="0"/>
    </xf>
    <xf numFmtId="0" fontId="60" fillId="0" borderId="86" xfId="40" applyFont="1" applyFill="1" applyBorder="1" applyAlignment="1" applyProtection="1">
      <alignment horizontal="right" vertical="center" wrapText="1"/>
      <protection locked="0"/>
    </xf>
    <xf numFmtId="0" fontId="60" fillId="0" borderId="62" xfId="40" applyFont="1" applyFill="1" applyBorder="1" applyAlignment="1" applyProtection="1">
      <alignment horizontal="right" vertical="center" wrapText="1"/>
      <protection locked="0"/>
    </xf>
    <xf numFmtId="0" fontId="60" fillId="0" borderId="69" xfId="40" applyFont="1" applyFill="1" applyBorder="1" applyAlignment="1" applyProtection="1">
      <alignment horizontal="right" vertical="center"/>
      <protection locked="0"/>
    </xf>
    <xf numFmtId="0" fontId="60" fillId="0" borderId="89" xfId="40" applyFont="1" applyFill="1" applyBorder="1" applyAlignment="1" applyProtection="1">
      <alignment horizontal="center"/>
      <protection locked="0"/>
    </xf>
    <xf numFmtId="164" fontId="60" fillId="0" borderId="89" xfId="40" applyNumberFormat="1" applyFont="1" applyFill="1" applyBorder="1" applyAlignment="1" applyProtection="1">
      <alignment horizontal="center"/>
      <protection locked="0"/>
    </xf>
    <xf numFmtId="0" fontId="60" fillId="0" borderId="89" xfId="40" applyNumberFormat="1" applyFont="1" applyFill="1" applyBorder="1" applyAlignment="1" applyProtection="1">
      <alignment horizontal="center"/>
      <protection locked="0"/>
    </xf>
    <xf numFmtId="165" fontId="60" fillId="0" borderId="89" xfId="40" applyNumberFormat="1" applyFont="1" applyFill="1" applyBorder="1" applyAlignment="1" applyProtection="1">
      <alignment horizontal="center"/>
      <protection locked="0"/>
    </xf>
    <xf numFmtId="165" fontId="60" fillId="0" borderId="62" xfId="40" applyNumberFormat="1" applyFont="1" applyFill="1" applyBorder="1" applyAlignment="1" applyProtection="1">
      <alignment horizontal="right" vertical="top"/>
      <protection locked="0"/>
    </xf>
    <xf numFmtId="165" fontId="60" fillId="0" borderId="69" xfId="40" applyNumberFormat="1" applyFont="1" applyFill="1" applyBorder="1" applyAlignment="1" applyProtection="1">
      <alignment horizontal="right" vertical="top"/>
      <protection locked="0"/>
    </xf>
    <xf numFmtId="0" fontId="56" fillId="0" borderId="90" xfId="40" applyFont="1" applyFill="1" applyBorder="1" applyAlignment="1">
      <alignment horizontal="center"/>
    </xf>
    <xf numFmtId="0" fontId="58" fillId="0" borderId="90" xfId="40" applyFont="1" applyFill="1" applyBorder="1" applyAlignment="1">
      <alignment horizontal="center"/>
    </xf>
    <xf numFmtId="0" fontId="63" fillId="0" borderId="89" xfId="40" applyFont="1" applyFill="1" applyBorder="1" applyAlignment="1" applyProtection="1">
      <alignment horizontal="center"/>
    </xf>
    <xf numFmtId="0" fontId="58" fillId="0" borderId="51" xfId="40" applyFont="1" applyFill="1" applyBorder="1" applyAlignment="1">
      <alignment horizontal="left"/>
    </xf>
    <xf numFmtId="0" fontId="56" fillId="0" borderId="51" xfId="40" applyFont="1" applyFill="1" applyBorder="1" applyAlignment="1">
      <alignment horizontal="left" vertical="center"/>
    </xf>
    <xf numFmtId="0" fontId="56" fillId="0" borderId="51" xfId="40" applyFont="1" applyFill="1" applyBorder="1" applyAlignment="1">
      <alignment horizontal="left"/>
    </xf>
    <xf numFmtId="165" fontId="58" fillId="0" borderId="0" xfId="40" applyNumberFormat="1" applyFont="1" applyFill="1" applyBorder="1" applyAlignment="1" applyProtection="1">
      <alignment horizontal="center" vertical="center"/>
      <protection locked="0"/>
    </xf>
    <xf numFmtId="165" fontId="60" fillId="0" borderId="0" xfId="40" applyNumberFormat="1" applyFont="1" applyFill="1" applyBorder="1" applyAlignment="1" applyProtection="1">
      <alignment horizontal="center" vertical="top"/>
      <protection locked="0"/>
    </xf>
    <xf numFmtId="165" fontId="56" fillId="0" borderId="0" xfId="40" applyNumberFormat="1" applyFont="1" applyFill="1" applyBorder="1" applyAlignment="1">
      <alignment horizontal="center" vertical="top"/>
    </xf>
    <xf numFmtId="165" fontId="56" fillId="0" borderId="0" xfId="40" applyNumberFormat="1" applyFont="1" applyFill="1" applyBorder="1" applyAlignment="1">
      <alignment horizontal="center" vertical="center"/>
    </xf>
    <xf numFmtId="165" fontId="56" fillId="0" borderId="64" xfId="40" applyNumberFormat="1" applyFont="1" applyFill="1" applyBorder="1" applyAlignment="1">
      <alignment horizontal="right" vertical="top"/>
    </xf>
    <xf numFmtId="165" fontId="56" fillId="0" borderId="75" xfId="40" applyNumberFormat="1" applyFont="1" applyFill="1" applyBorder="1" applyAlignment="1">
      <alignment horizontal="right" vertical="top"/>
    </xf>
    <xf numFmtId="165" fontId="60" fillId="0" borderId="58" xfId="40" applyNumberFormat="1" applyFont="1" applyFill="1" applyBorder="1" applyAlignment="1" applyProtection="1">
      <alignment horizontal="center" vertical="top"/>
      <protection locked="0"/>
    </xf>
    <xf numFmtId="165" fontId="56" fillId="0" borderId="76" xfId="40" applyNumberFormat="1" applyFont="1" applyFill="1" applyBorder="1" applyAlignment="1">
      <alignment horizontal="center" vertical="center"/>
    </xf>
    <xf numFmtId="0" fontId="56" fillId="0" borderId="76" xfId="40" applyFont="1" applyFill="1" applyBorder="1" applyAlignment="1">
      <alignment horizontal="center" vertical="center"/>
    </xf>
    <xf numFmtId="165" fontId="56" fillId="0" borderId="63" xfId="40" applyNumberFormat="1" applyFont="1" applyFill="1" applyBorder="1" applyAlignment="1">
      <alignment horizontal="center" vertical="center"/>
    </xf>
    <xf numFmtId="165" fontId="58" fillId="0" borderId="63" xfId="40" applyNumberFormat="1" applyFont="1" applyFill="1" applyBorder="1" applyAlignment="1" applyProtection="1">
      <alignment horizontal="center" vertical="center"/>
      <protection locked="0"/>
    </xf>
    <xf numFmtId="0" fontId="56" fillId="0" borderId="63" xfId="40" applyFont="1" applyFill="1" applyBorder="1" applyAlignment="1">
      <alignment horizontal="center" vertical="center"/>
    </xf>
    <xf numFmtId="165" fontId="56" fillId="0" borderId="74" xfId="40" applyNumberFormat="1" applyFont="1" applyFill="1" applyBorder="1" applyAlignment="1">
      <alignment horizontal="center" vertical="center"/>
    </xf>
    <xf numFmtId="0" fontId="56" fillId="0" borderId="74" xfId="40" applyFont="1" applyFill="1" applyBorder="1" applyAlignment="1">
      <alignment horizontal="center" vertical="center"/>
    </xf>
    <xf numFmtId="165" fontId="56" fillId="0" borderId="72" xfId="40" applyNumberFormat="1" applyFont="1" applyFill="1" applyBorder="1" applyAlignment="1">
      <alignment horizontal="center" vertical="center"/>
    </xf>
    <xf numFmtId="0" fontId="56" fillId="0" borderId="72" xfId="40" applyFont="1" applyFill="1" applyBorder="1" applyAlignment="1">
      <alignment horizontal="center" vertical="center"/>
    </xf>
    <xf numFmtId="165" fontId="56" fillId="0" borderId="55" xfId="40" applyNumberFormat="1" applyFont="1" applyFill="1" applyBorder="1" applyAlignment="1">
      <alignment horizontal="center" vertical="center"/>
    </xf>
    <xf numFmtId="165" fontId="58" fillId="0" borderId="55" xfId="40" applyNumberFormat="1" applyFont="1" applyFill="1" applyBorder="1" applyAlignment="1" applyProtection="1">
      <alignment horizontal="center" vertical="center"/>
      <protection locked="0"/>
    </xf>
    <xf numFmtId="0" fontId="56" fillId="0" borderId="55" xfId="40" applyFont="1" applyFill="1" applyBorder="1" applyAlignment="1">
      <alignment horizontal="center" vertical="center"/>
    </xf>
    <xf numFmtId="165" fontId="56" fillId="0" borderId="68" xfId="40" applyNumberFormat="1" applyFont="1" applyFill="1" applyBorder="1" applyAlignment="1">
      <alignment horizontal="center" vertical="center"/>
    </xf>
    <xf numFmtId="165" fontId="64" fillId="0" borderId="52" xfId="40" applyNumberFormat="1" applyFont="1" applyFill="1" applyBorder="1" applyAlignment="1" applyProtection="1">
      <alignment horizontal="right"/>
      <protection locked="0"/>
    </xf>
    <xf numFmtId="0" fontId="48" fillId="0" borderId="29" xfId="40" applyFont="1" applyFill="1" applyBorder="1" applyAlignment="1" applyProtection="1">
      <alignment horizontal="centerContinuous" vertical="center"/>
      <protection locked="0"/>
    </xf>
    <xf numFmtId="165" fontId="56" fillId="0" borderId="59" xfId="40" applyNumberFormat="1" applyFont="1" applyFill="1" applyBorder="1" applyAlignment="1">
      <alignment horizontal="right" vertical="top"/>
    </xf>
    <xf numFmtId="9" fontId="56" fillId="0" borderId="66" xfId="40" applyNumberFormat="1" applyFont="1" applyFill="1" applyBorder="1" applyAlignment="1">
      <alignment horizontal="center" vertical="top"/>
    </xf>
    <xf numFmtId="9" fontId="56" fillId="0" borderId="0" xfId="40" applyNumberFormat="1" applyFont="1" applyFill="1" applyBorder="1" applyAlignment="1">
      <alignment horizontal="center" vertical="top"/>
    </xf>
    <xf numFmtId="9" fontId="56" fillId="0" borderId="60" xfId="40" applyNumberFormat="1" applyFont="1" applyFill="1" applyBorder="1" applyAlignment="1">
      <alignment horizontal="center" vertical="top"/>
    </xf>
    <xf numFmtId="9" fontId="56" fillId="0" borderId="79" xfId="40" applyNumberFormat="1" applyFont="1" applyFill="1" applyBorder="1" applyAlignment="1">
      <alignment horizontal="center" vertical="top"/>
    </xf>
    <xf numFmtId="9" fontId="56" fillId="0" borderId="0" xfId="40" applyNumberFormat="1" applyFont="1" applyFill="1" applyAlignment="1">
      <alignment horizontal="center"/>
    </xf>
    <xf numFmtId="9" fontId="56" fillId="0" borderId="10" xfId="40" applyNumberFormat="1" applyFont="1" applyFill="1" applyBorder="1" applyAlignment="1">
      <alignment horizontal="center" vertical="top"/>
    </xf>
    <xf numFmtId="9" fontId="56" fillId="0" borderId="10" xfId="40" applyNumberFormat="1" applyFont="1" applyFill="1" applyBorder="1" applyAlignment="1">
      <alignment horizontal="center"/>
    </xf>
    <xf numFmtId="9" fontId="48" fillId="0" borderId="23" xfId="40" applyNumberFormat="1" applyFont="1" applyFill="1" applyBorder="1" applyAlignment="1">
      <alignment horizontal="center" vertical="center"/>
    </xf>
    <xf numFmtId="9" fontId="48" fillId="0" borderId="82" xfId="40" applyNumberFormat="1" applyFont="1" applyFill="1" applyBorder="1" applyAlignment="1">
      <alignment horizontal="center" vertical="center"/>
    </xf>
    <xf numFmtId="0" fontId="60" fillId="0" borderId="70" xfId="40" applyFont="1" applyFill="1" applyBorder="1" applyAlignment="1" applyProtection="1">
      <alignment horizontal="right" vertical="center" wrapText="1"/>
      <protection locked="0"/>
    </xf>
    <xf numFmtId="173" fontId="60" fillId="0" borderId="66" xfId="40" applyNumberFormat="1" applyFont="1" applyFill="1" applyBorder="1" applyAlignment="1">
      <alignment horizontal="center" vertical="top"/>
    </xf>
    <xf numFmtId="0" fontId="61" fillId="0" borderId="65" xfId="40" applyFont="1" applyFill="1" applyBorder="1" applyAlignment="1">
      <alignment horizontal="centerContinuous" vertical="center"/>
    </xf>
    <xf numFmtId="0" fontId="49" fillId="0" borderId="33" xfId="40" applyFont="1" applyFill="1" applyBorder="1" applyAlignment="1" applyProtection="1">
      <alignment horizontal="centerContinuous" vertical="center"/>
      <protection locked="0"/>
    </xf>
    <xf numFmtId="0" fontId="61" fillId="0" borderId="33" xfId="40" applyFont="1" applyFill="1" applyBorder="1" applyAlignment="1" applyProtection="1">
      <alignment horizontal="centerContinuous" vertical="center" shrinkToFit="1"/>
      <protection locked="0"/>
    </xf>
    <xf numFmtId="165" fontId="56" fillId="0" borderId="53" xfId="40" applyNumberFormat="1" applyFont="1" applyFill="1" applyBorder="1" applyAlignment="1" applyProtection="1">
      <alignment horizontal="center" vertical="center"/>
      <protection locked="0"/>
    </xf>
    <xf numFmtId="165" fontId="56" fillId="0" borderId="63" xfId="40" applyNumberFormat="1" applyFont="1" applyFill="1" applyBorder="1" applyAlignment="1" applyProtection="1">
      <alignment horizontal="center" vertical="center"/>
      <protection locked="0"/>
    </xf>
    <xf numFmtId="165" fontId="56" fillId="0" borderId="74" xfId="40" applyNumberFormat="1" applyFont="1" applyFill="1" applyBorder="1" applyAlignment="1" applyProtection="1">
      <alignment horizontal="center" vertical="center"/>
      <protection locked="0"/>
    </xf>
    <xf numFmtId="165" fontId="56" fillId="0" borderId="76" xfId="40" applyNumberFormat="1" applyFont="1" applyFill="1" applyBorder="1" applyAlignment="1" applyProtection="1">
      <alignment horizontal="center" vertical="center"/>
      <protection locked="0"/>
    </xf>
    <xf numFmtId="165" fontId="56" fillId="0" borderId="68" xfId="40" applyNumberFormat="1" applyFont="1" applyFill="1" applyBorder="1" applyAlignment="1" applyProtection="1">
      <alignment horizontal="center" vertical="center"/>
      <protection locked="0"/>
    </xf>
    <xf numFmtId="165" fontId="56" fillId="0" borderId="72" xfId="40" applyNumberFormat="1" applyFont="1" applyFill="1" applyBorder="1" applyAlignment="1" applyProtection="1">
      <alignment horizontal="center" vertical="center"/>
      <protection locked="0"/>
    </xf>
    <xf numFmtId="0" fontId="60" fillId="0" borderId="58" xfId="40" applyFont="1" applyFill="1" applyBorder="1" applyAlignment="1" applyProtection="1">
      <alignment horizontal="right" vertical="center" wrapText="1"/>
      <protection locked="0"/>
    </xf>
    <xf numFmtId="0" fontId="61" fillId="0" borderId="60" xfId="40" applyFont="1" applyFill="1" applyBorder="1" applyAlignment="1" applyProtection="1">
      <alignment horizontal="centerContinuous" vertical="center"/>
      <protection locked="0"/>
    </xf>
    <xf numFmtId="0" fontId="56" fillId="0" borderId="61" xfId="40" applyFont="1" applyFill="1" applyBorder="1" applyAlignment="1" applyProtection="1">
      <alignment horizontal="centerContinuous" vertical="center"/>
      <protection locked="0"/>
    </xf>
    <xf numFmtId="165" fontId="65" fillId="0" borderId="35" xfId="40" applyNumberFormat="1" applyFont="1" applyFill="1" applyBorder="1" applyAlignment="1" applyProtection="1">
      <alignment horizontal="right" vertical="center"/>
      <protection locked="0"/>
    </xf>
    <xf numFmtId="165" fontId="48" fillId="0" borderId="0" xfId="40" applyNumberFormat="1" applyFont="1" applyFill="1" applyBorder="1" applyAlignment="1" applyProtection="1">
      <alignment horizontal="right" vertical="center"/>
      <protection locked="0"/>
    </xf>
    <xf numFmtId="0" fontId="48" fillId="0" borderId="0" xfId="40" applyFont="1" applyFill="1" applyBorder="1" applyAlignment="1" applyProtection="1">
      <alignment horizontal="centerContinuous" vertical="center"/>
      <protection locked="0"/>
    </xf>
    <xf numFmtId="0" fontId="56" fillId="0" borderId="0" xfId="40" applyFont="1" applyFill="1" applyBorder="1" applyAlignment="1">
      <alignment horizontal="left" vertical="center"/>
    </xf>
    <xf numFmtId="2" fontId="60" fillId="0" borderId="89" xfId="40" applyNumberFormat="1" applyFont="1" applyFill="1" applyBorder="1" applyAlignment="1" applyProtection="1">
      <alignment horizontal="center"/>
      <protection locked="0"/>
    </xf>
    <xf numFmtId="164" fontId="56" fillId="0" borderId="0" xfId="40" applyNumberFormat="1" applyFont="1" applyFill="1" applyAlignment="1">
      <alignment horizontal="center"/>
    </xf>
    <xf numFmtId="0" fontId="56" fillId="0" borderId="0" xfId="40" quotePrefix="1" applyFont="1" applyFill="1" applyAlignment="1">
      <alignment vertical="center"/>
    </xf>
    <xf numFmtId="0" fontId="56" fillId="0" borderId="10" xfId="40" applyFont="1" applyFill="1" applyBorder="1" applyAlignment="1">
      <alignment horizontal="center"/>
    </xf>
    <xf numFmtId="0" fontId="60" fillId="0" borderId="91" xfId="40" applyFont="1" applyFill="1" applyBorder="1" applyAlignment="1" applyProtection="1">
      <alignment horizontal="center"/>
      <protection locked="0"/>
    </xf>
    <xf numFmtId="178" fontId="48" fillId="0" borderId="53" xfId="40" applyNumberFormat="1" applyFont="1" applyFill="1" applyBorder="1" applyAlignment="1" applyProtection="1">
      <alignment horizontal="center" vertical="center"/>
      <protection locked="0"/>
    </xf>
    <xf numFmtId="9" fontId="56" fillId="0" borderId="0" xfId="40" applyNumberFormat="1" applyFont="1" applyFill="1" applyAlignment="1">
      <alignment wrapText="1"/>
    </xf>
    <xf numFmtId="165" fontId="60" fillId="0" borderId="58" xfId="40" applyNumberFormat="1" applyFont="1" applyFill="1" applyBorder="1" applyAlignment="1" applyProtection="1">
      <alignment horizontal="right" vertical="top"/>
      <protection locked="0"/>
    </xf>
    <xf numFmtId="0" fontId="61" fillId="0" borderId="57" xfId="40" applyFont="1" applyFill="1" applyBorder="1" applyAlignment="1">
      <alignment horizontal="centerContinuous" vertical="center"/>
    </xf>
    <xf numFmtId="0" fontId="56" fillId="0" borderId="72" xfId="40" applyFont="1" applyFill="1" applyBorder="1" applyAlignment="1">
      <alignment vertical="center"/>
    </xf>
    <xf numFmtId="0" fontId="56" fillId="0" borderId="73" xfId="40" applyFont="1" applyFill="1" applyBorder="1" applyAlignment="1">
      <alignment horizontal="left" vertical="center"/>
    </xf>
    <xf numFmtId="170" fontId="56" fillId="0" borderId="0" xfId="40" applyNumberFormat="1" applyFont="1" applyFill="1" applyBorder="1" applyAlignment="1">
      <alignment horizontal="center"/>
    </xf>
    <xf numFmtId="178" fontId="60" fillId="0" borderId="89" xfId="40" applyNumberFormat="1" applyFont="1" applyFill="1" applyBorder="1" applyAlignment="1" applyProtection="1">
      <alignment horizontal="center"/>
      <protection locked="0"/>
    </xf>
    <xf numFmtId="165" fontId="60" fillId="0" borderId="10" xfId="40" applyNumberFormat="1" applyFont="1" applyFill="1" applyBorder="1" applyAlignment="1" applyProtection="1">
      <alignment horizontal="center" vertical="top"/>
      <protection locked="0"/>
    </xf>
    <xf numFmtId="165" fontId="56" fillId="0" borderId="10" xfId="40" applyNumberFormat="1" applyFont="1" applyFill="1" applyBorder="1" applyAlignment="1">
      <alignment horizontal="center" vertical="top"/>
    </xf>
    <xf numFmtId="164" fontId="60" fillId="0" borderId="58" xfId="40" applyNumberFormat="1" applyFont="1" applyFill="1" applyBorder="1" applyAlignment="1" applyProtection="1">
      <alignment horizontal="right" vertical="center" wrapText="1"/>
      <protection locked="0"/>
    </xf>
    <xf numFmtId="165" fontId="55" fillId="0" borderId="10" xfId="40" applyNumberFormat="1" applyFont="1" applyFill="1" applyBorder="1" applyAlignment="1">
      <alignment vertical="center"/>
    </xf>
    <xf numFmtId="0" fontId="48" fillId="0" borderId="32" xfId="40" applyFont="1" applyFill="1" applyBorder="1" applyAlignment="1">
      <alignment horizontal="center"/>
    </xf>
    <xf numFmtId="0" fontId="56" fillId="0" borderId="82" xfId="40" quotePrefix="1" applyFont="1" applyFill="1" applyBorder="1" applyAlignment="1">
      <alignment horizontal="left" wrapText="1"/>
    </xf>
    <xf numFmtId="0" fontId="56" fillId="0" borderId="48" xfId="40" applyFont="1" applyFill="1" applyBorder="1" applyAlignment="1">
      <alignment horizontal="left" wrapText="1"/>
    </xf>
    <xf numFmtId="0" fontId="56" fillId="0" borderId="82" xfId="40" applyFont="1" applyFill="1" applyBorder="1" applyAlignment="1">
      <alignment horizontal="left" wrapText="1"/>
    </xf>
    <xf numFmtId="0" fontId="56" fillId="0" borderId="81" xfId="40" applyFont="1" applyFill="1" applyBorder="1" applyAlignment="1">
      <alignment horizontal="left" wrapText="1"/>
    </xf>
    <xf numFmtId="0" fontId="48" fillId="0" borderId="78" xfId="40" applyFont="1" applyFill="1" applyBorder="1" applyAlignment="1" applyProtection="1">
      <alignment vertical="center"/>
      <protection locked="0"/>
    </xf>
    <xf numFmtId="165" fontId="48" fillId="0" borderId="82" xfId="40" applyNumberFormat="1" applyFont="1" applyFill="1" applyBorder="1" applyAlignment="1" applyProtection="1">
      <alignment horizontal="right" vertical="center"/>
      <protection locked="0"/>
    </xf>
    <xf numFmtId="165" fontId="48" fillId="0" borderId="30" xfId="40" applyNumberFormat="1" applyFont="1" applyFill="1" applyBorder="1" applyAlignment="1">
      <alignment vertical="center"/>
    </xf>
    <xf numFmtId="0" fontId="48" fillId="0" borderId="0" xfId="40" applyFont="1" applyFill="1" applyAlignment="1">
      <alignment horizontal="center" wrapText="1"/>
    </xf>
    <xf numFmtId="0" fontId="4" fillId="0" borderId="89" xfId="40" applyFont="1" applyFill="1" applyBorder="1" applyAlignment="1">
      <alignment horizontal="left" wrapText="1"/>
    </xf>
    <xf numFmtId="0" fontId="4" fillId="0" borderId="89" xfId="40" applyFont="1" applyFill="1" applyBorder="1" applyAlignment="1">
      <alignment horizontal="center" wrapText="1"/>
    </xf>
    <xf numFmtId="0" fontId="4" fillId="20" borderId="89" xfId="40" applyFont="1" applyFill="1" applyBorder="1" applyAlignment="1">
      <alignment horizontal="left" wrapText="1"/>
    </xf>
    <xf numFmtId="1" fontId="60" fillId="0" borderId="89" xfId="40" applyNumberFormat="1" applyFont="1" applyFill="1" applyBorder="1" applyAlignment="1" applyProtection="1">
      <alignment horizontal="center"/>
      <protection locked="0"/>
    </xf>
    <xf numFmtId="0" fontId="10" fillId="0" borderId="32" xfId="40" applyFont="1" applyFill="1" applyBorder="1" applyAlignment="1">
      <alignment horizontal="center" wrapText="1"/>
    </xf>
    <xf numFmtId="165" fontId="58" fillId="0" borderId="0" xfId="60" applyNumberFormat="1" applyFont="1" applyFill="1"/>
    <xf numFmtId="0" fontId="58" fillId="0" borderId="0" xfId="60" quotePrefix="1" applyFont="1" applyFill="1"/>
    <xf numFmtId="0" fontId="56" fillId="0" borderId="0" xfId="60" applyFont="1" applyFill="1"/>
    <xf numFmtId="0" fontId="59" fillId="0" borderId="0" xfId="60" applyFont="1" applyFill="1" applyBorder="1" applyAlignment="1">
      <alignment horizontal="centerContinuous"/>
    </xf>
    <xf numFmtId="0" fontId="48" fillId="0" borderId="51" xfId="60" applyFont="1" applyFill="1" applyBorder="1" applyAlignment="1">
      <alignment horizontal="center" wrapText="1"/>
    </xf>
    <xf numFmtId="0" fontId="48" fillId="0" borderId="23" xfId="60" applyFont="1" applyFill="1" applyBorder="1" applyAlignment="1">
      <alignment horizontal="center" wrapText="1"/>
    </xf>
    <xf numFmtId="0" fontId="48" fillId="0" borderId="23" xfId="60" applyFont="1" applyFill="1" applyBorder="1" applyAlignment="1">
      <alignment horizontal="centerContinuous" wrapText="1"/>
    </xf>
    <xf numFmtId="0" fontId="10" fillId="0" borderId="23" xfId="60" applyFont="1" applyFill="1" applyBorder="1" applyAlignment="1">
      <alignment horizontal="centerContinuous" wrapText="1"/>
    </xf>
    <xf numFmtId="0" fontId="10" fillId="0" borderId="0" xfId="60" applyFill="1" applyAlignment="1">
      <alignment horizontal="left"/>
    </xf>
    <xf numFmtId="0" fontId="10" fillId="0" borderId="29" xfId="60" applyFill="1" applyBorder="1" applyAlignment="1">
      <alignment horizontal="left" vertical="top" wrapText="1"/>
    </xf>
    <xf numFmtId="0" fontId="10" fillId="0" borderId="57" xfId="60" applyFill="1" applyBorder="1" applyAlignment="1">
      <alignment horizontal="left" vertical="top" wrapText="1" indent="2"/>
    </xf>
    <xf numFmtId="165" fontId="56" fillId="0" borderId="59" xfId="40" applyNumberFormat="1" applyFont="1" applyFill="1" applyBorder="1" applyAlignment="1">
      <alignment horizontal="center" vertical="top"/>
    </xf>
    <xf numFmtId="0" fontId="48" fillId="0" borderId="29" xfId="60" applyFont="1" applyFill="1" applyBorder="1" applyAlignment="1">
      <alignment horizontal="left" vertical="top" wrapText="1" indent="2"/>
    </xf>
    <xf numFmtId="165" fontId="10" fillId="0" borderId="70" xfId="40" applyNumberFormat="1" applyFont="1" applyFill="1" applyBorder="1" applyAlignment="1" applyProtection="1">
      <alignment horizontal="right" vertical="top"/>
      <protection locked="0"/>
    </xf>
    <xf numFmtId="165" fontId="56" fillId="0" borderId="51" xfId="40" applyNumberFormat="1" applyFont="1" applyFill="1" applyBorder="1" applyAlignment="1">
      <alignment horizontal="center" vertical="top"/>
    </xf>
    <xf numFmtId="0" fontId="10" fillId="0" borderId="23" xfId="40" applyFont="1" applyFill="1" applyBorder="1" applyAlignment="1">
      <alignment horizontal="left" wrapText="1"/>
    </xf>
    <xf numFmtId="0" fontId="10" fillId="0" borderId="30" xfId="40" applyFont="1" applyFill="1" applyBorder="1" applyAlignment="1">
      <alignment horizontal="left" wrapText="1"/>
    </xf>
    <xf numFmtId="0" fontId="10" fillId="0" borderId="29" xfId="60" applyFill="1" applyBorder="1" applyAlignment="1">
      <alignment horizontal="left" vertical="top" wrapText="1" indent="2"/>
    </xf>
    <xf numFmtId="165" fontId="56" fillId="0" borderId="51" xfId="40" applyNumberFormat="1" applyFont="1" applyFill="1" applyBorder="1" applyAlignment="1">
      <alignment horizontal="right" vertical="top"/>
    </xf>
    <xf numFmtId="0" fontId="56" fillId="0" borderId="51" xfId="40" applyFont="1" applyFill="1" applyBorder="1" applyAlignment="1">
      <alignment horizontal="right"/>
    </xf>
    <xf numFmtId="0" fontId="10" fillId="0" borderId="0" xfId="60" applyFill="1" applyBorder="1" applyAlignment="1">
      <alignment horizontal="left" vertical="top" wrapText="1" indent="2"/>
    </xf>
    <xf numFmtId="0" fontId="10" fillId="0" borderId="29" xfId="60" applyFont="1" applyFill="1" applyBorder="1" applyAlignment="1">
      <alignment horizontal="left"/>
    </xf>
    <xf numFmtId="0" fontId="10" fillId="0" borderId="30" xfId="40" applyFont="1" applyFill="1" applyBorder="1" applyAlignment="1">
      <alignment horizontal="center" wrapText="1"/>
    </xf>
    <xf numFmtId="0" fontId="10" fillId="0" borderId="78" xfId="60" applyFill="1" applyBorder="1" applyAlignment="1">
      <alignment horizontal="left" vertical="top" wrapText="1" indent="2"/>
    </xf>
    <xf numFmtId="0" fontId="10" fillId="0" borderId="77" xfId="60" applyFill="1" applyBorder="1" applyAlignment="1">
      <alignment vertical="top"/>
    </xf>
    <xf numFmtId="0" fontId="10" fillId="0" borderId="0" xfId="40" applyFont="1" applyFill="1" applyAlignment="1">
      <alignment horizontal="left" wrapText="1"/>
    </xf>
    <xf numFmtId="168" fontId="60" fillId="0" borderId="58" xfId="61" applyNumberFormat="1" applyFont="1" applyFill="1" applyBorder="1" applyAlignment="1" applyProtection="1">
      <alignment horizontal="right" vertical="center" wrapText="1"/>
      <protection locked="0"/>
    </xf>
    <xf numFmtId="164" fontId="10" fillId="0" borderId="59" xfId="40" applyNumberFormat="1" applyFont="1" applyFill="1" applyBorder="1" applyAlignment="1" applyProtection="1">
      <alignment horizontal="right" vertical="center"/>
      <protection locked="0"/>
    </xf>
    <xf numFmtId="0" fontId="10" fillId="0" borderId="81" xfId="40" applyFont="1" applyFill="1" applyBorder="1" applyAlignment="1">
      <alignment horizontal="left" wrapText="1"/>
    </xf>
    <xf numFmtId="0" fontId="10" fillId="0" borderId="48" xfId="40" applyFont="1" applyFill="1" applyBorder="1" applyAlignment="1">
      <alignment horizontal="left" wrapText="1"/>
    </xf>
    <xf numFmtId="165" fontId="10" fillId="0" borderId="77" xfId="40" applyNumberFormat="1" applyFont="1" applyFill="1" applyBorder="1" applyAlignment="1" applyProtection="1">
      <alignment horizontal="right" vertical="center"/>
      <protection locked="0"/>
    </xf>
    <xf numFmtId="0" fontId="10" fillId="0" borderId="82" xfId="40" quotePrefix="1" applyFont="1" applyFill="1" applyBorder="1" applyAlignment="1">
      <alignment horizontal="left" wrapText="1"/>
    </xf>
    <xf numFmtId="165" fontId="48" fillId="0" borderId="77" xfId="40" applyNumberFormat="1" applyFont="1" applyFill="1" applyBorder="1" applyAlignment="1" applyProtection="1">
      <alignment horizontal="center" vertical="center"/>
      <protection locked="0"/>
    </xf>
    <xf numFmtId="165" fontId="10" fillId="0" borderId="83" xfId="40" applyNumberFormat="1" applyFont="1" applyFill="1" applyBorder="1" applyAlignment="1" applyProtection="1">
      <alignment horizontal="right" vertical="center"/>
      <protection locked="0"/>
    </xf>
    <xf numFmtId="0" fontId="10" fillId="0" borderId="81" xfId="40" quotePrefix="1" applyFont="1" applyFill="1" applyBorder="1" applyAlignment="1">
      <alignment horizontal="left" wrapText="1"/>
    </xf>
    <xf numFmtId="168" fontId="60" fillId="0" borderId="62" xfId="61" applyNumberFormat="1" applyFont="1" applyFill="1" applyBorder="1" applyAlignment="1" applyProtection="1">
      <alignment horizontal="right" vertical="center" wrapText="1"/>
      <protection locked="0"/>
    </xf>
    <xf numFmtId="0" fontId="10" fillId="0" borderId="48" xfId="40" quotePrefix="1" applyFont="1" applyFill="1" applyBorder="1" applyAlignment="1">
      <alignment horizontal="left" wrapText="1"/>
    </xf>
    <xf numFmtId="165" fontId="10" fillId="0" borderId="84" xfId="40" applyNumberFormat="1" applyFont="1" applyFill="1" applyBorder="1" applyAlignment="1" applyProtection="1">
      <alignment horizontal="right" vertical="center"/>
      <protection locked="0"/>
    </xf>
    <xf numFmtId="168" fontId="60" fillId="0" borderId="69" xfId="61" applyNumberFormat="1" applyFont="1" applyFill="1" applyBorder="1" applyAlignment="1" applyProtection="1">
      <alignment horizontal="right" vertical="center" wrapText="1"/>
      <protection locked="0"/>
    </xf>
    <xf numFmtId="165" fontId="10" fillId="0" borderId="85" xfId="40" applyNumberFormat="1" applyFont="1" applyFill="1" applyBorder="1" applyAlignment="1" applyProtection="1">
      <alignment horizontal="right" vertical="center"/>
      <protection locked="0"/>
    </xf>
    <xf numFmtId="0" fontId="10" fillId="0" borderId="82" xfId="40" applyFont="1" applyFill="1" applyBorder="1" applyAlignment="1">
      <alignment horizontal="left" wrapText="1"/>
    </xf>
    <xf numFmtId="165" fontId="48" fillId="0" borderId="77" xfId="40" applyNumberFormat="1" applyFont="1" applyFill="1" applyBorder="1" applyAlignment="1" applyProtection="1">
      <alignment horizontal="right" vertical="center"/>
      <protection locked="0"/>
    </xf>
    <xf numFmtId="0" fontId="10" fillId="0" borderId="87" xfId="40" applyNumberFormat="1" applyFont="1" applyFill="1" applyBorder="1" applyAlignment="1" applyProtection="1">
      <alignment horizontal="center" vertical="center"/>
      <protection locked="0"/>
    </xf>
    <xf numFmtId="10" fontId="60" fillId="0" borderId="62" xfId="63" applyNumberFormat="1" applyFont="1" applyFill="1" applyBorder="1" applyAlignment="1" applyProtection="1">
      <alignment horizontal="right" vertical="center" wrapText="1"/>
      <protection locked="0"/>
    </xf>
    <xf numFmtId="10" fontId="10" fillId="0" borderId="64" xfId="40" applyNumberFormat="1" applyFont="1" applyFill="1" applyBorder="1" applyAlignment="1" applyProtection="1">
      <alignment horizontal="center" vertical="center"/>
      <protection locked="0"/>
    </xf>
    <xf numFmtId="169" fontId="10" fillId="0" borderId="69" xfId="40" applyNumberFormat="1" applyFont="1" applyFill="1" applyBorder="1" applyAlignment="1" applyProtection="1">
      <alignment horizontal="right" vertical="center"/>
      <protection locked="0"/>
    </xf>
    <xf numFmtId="165" fontId="48" fillId="0" borderId="75" xfId="40" applyNumberFormat="1" applyFont="1" applyFill="1" applyBorder="1" applyAlignment="1">
      <alignment horizontal="right" vertical="center"/>
    </xf>
    <xf numFmtId="165" fontId="48" fillId="0" borderId="51" xfId="40" applyNumberFormat="1" applyFont="1" applyFill="1" applyBorder="1" applyAlignment="1">
      <alignment horizontal="right" vertical="center"/>
    </xf>
    <xf numFmtId="4" fontId="10" fillId="0" borderId="88" xfId="40" applyNumberFormat="1" applyFont="1" applyFill="1" applyBorder="1" applyAlignment="1">
      <alignment horizontal="center" vertical="center"/>
    </xf>
    <xf numFmtId="0" fontId="10" fillId="0" borderId="89" xfId="40" applyFont="1" applyFill="1" applyBorder="1" applyAlignment="1">
      <alignment horizontal="left" wrapText="1"/>
    </xf>
    <xf numFmtId="4" fontId="10" fillId="0" borderId="35" xfId="40" applyNumberFormat="1" applyFont="1" applyFill="1" applyBorder="1" applyAlignment="1" applyProtection="1">
      <alignment horizontal="center" vertical="center"/>
      <protection locked="0"/>
    </xf>
    <xf numFmtId="4" fontId="10" fillId="0" borderId="0" xfId="40" applyNumberFormat="1" applyFont="1" applyFill="1" applyAlignment="1" applyProtection="1">
      <alignment horizontal="center" vertical="center"/>
      <protection locked="0"/>
    </xf>
    <xf numFmtId="165" fontId="10" fillId="0" borderId="88" xfId="40" applyNumberFormat="1" applyFont="1" applyFill="1" applyBorder="1" applyAlignment="1" applyProtection="1">
      <alignment horizontal="right" vertical="center"/>
      <protection locked="0"/>
    </xf>
    <xf numFmtId="165" fontId="10" fillId="0" borderId="0" xfId="40" applyNumberFormat="1" applyFont="1" applyFill="1" applyBorder="1" applyAlignment="1" applyProtection="1">
      <alignment horizontal="right" vertical="center"/>
      <protection locked="0"/>
    </xf>
    <xf numFmtId="0" fontId="10" fillId="0" borderId="15" xfId="40" applyFont="1" applyFill="1" applyBorder="1" applyAlignment="1" applyProtection="1">
      <alignment horizontal="center" vertical="center"/>
      <protection locked="0"/>
    </xf>
    <xf numFmtId="0" fontId="10" fillId="0" borderId="20" xfId="40" applyFont="1" applyFill="1" applyBorder="1" applyAlignment="1" applyProtection="1">
      <alignment horizontal="center" vertical="center"/>
      <protection locked="0"/>
    </xf>
    <xf numFmtId="0" fontId="10" fillId="0" borderId="32" xfId="40" applyFont="1" applyFill="1" applyBorder="1" applyAlignment="1">
      <alignment horizontal="center"/>
    </xf>
    <xf numFmtId="0" fontId="10" fillId="0" borderId="33" xfId="40" applyFont="1" applyFill="1" applyBorder="1" applyAlignment="1">
      <alignment horizontal="center"/>
    </xf>
    <xf numFmtId="0" fontId="0" fillId="0" borderId="89" xfId="40" applyFont="1" applyFill="1" applyBorder="1" applyAlignment="1">
      <alignment horizontal="left" wrapText="1"/>
    </xf>
    <xf numFmtId="0" fontId="10" fillId="0" borderId="0" xfId="60" applyFill="1" applyBorder="1" applyAlignment="1">
      <alignment horizontal="center"/>
    </xf>
    <xf numFmtId="0" fontId="10" fillId="0" borderId="89" xfId="40" applyFont="1" applyFill="1" applyBorder="1" applyAlignment="1">
      <alignment horizontal="center" wrapText="1"/>
    </xf>
    <xf numFmtId="0" fontId="69" fillId="0" borderId="0" xfId="0" applyFont="1" applyFill="1" applyAlignment="1">
      <alignment wrapText="1"/>
    </xf>
    <xf numFmtId="173" fontId="60" fillId="0" borderId="89" xfId="63" applyNumberFormat="1" applyFont="1" applyFill="1" applyBorder="1" applyAlignment="1" applyProtection="1">
      <alignment horizontal="center"/>
      <protection locked="0"/>
    </xf>
    <xf numFmtId="0" fontId="8" fillId="0" borderId="89" xfId="40" applyFont="1" applyFill="1" applyBorder="1" applyAlignment="1">
      <alignment horizontal="left" wrapText="1"/>
    </xf>
    <xf numFmtId="10" fontId="60" fillId="0" borderId="89" xfId="63" applyNumberFormat="1" applyFont="1" applyFill="1" applyBorder="1" applyAlignment="1" applyProtection="1">
      <alignment horizontal="center"/>
      <protection locked="0"/>
    </xf>
    <xf numFmtId="5" fontId="56" fillId="0" borderId="89" xfId="61" applyNumberFormat="1" applyFont="1" applyFill="1" applyBorder="1" applyAlignment="1">
      <alignment horizontal="center"/>
    </xf>
    <xf numFmtId="165" fontId="10" fillId="0" borderId="52" xfId="60" applyNumberFormat="1" applyFill="1" applyBorder="1"/>
    <xf numFmtId="168" fontId="0" fillId="0" borderId="0" xfId="61" applyNumberFormat="1" applyFont="1" applyFill="1"/>
    <xf numFmtId="0" fontId="10" fillId="0" borderId="0" xfId="40" applyFont="1" applyFill="1" applyAlignment="1">
      <alignment horizontal="center" vertical="center" wrapText="1"/>
    </xf>
    <xf numFmtId="0" fontId="10" fillId="0" borderId="59" xfId="40" applyNumberFormat="1" applyFont="1" applyFill="1" applyBorder="1" applyAlignment="1" applyProtection="1">
      <alignment horizontal="right" vertical="center"/>
      <protection locked="0"/>
    </xf>
    <xf numFmtId="4" fontId="60" fillId="0" borderId="89" xfId="40" applyNumberFormat="1" applyFont="1" applyFill="1" applyBorder="1" applyAlignment="1" applyProtection="1">
      <alignment horizontal="center"/>
      <protection locked="0"/>
    </xf>
    <xf numFmtId="3" fontId="60" fillId="0" borderId="89" xfId="40" applyNumberFormat="1" applyFont="1" applyFill="1" applyBorder="1" applyAlignment="1" applyProtection="1">
      <alignment horizontal="center"/>
      <protection locked="0"/>
    </xf>
    <xf numFmtId="165" fontId="3" fillId="26" borderId="83" xfId="40" applyNumberFormat="1" applyFont="1" applyFill="1" applyBorder="1" applyAlignment="1" applyProtection="1">
      <alignment horizontal="right" vertical="center"/>
      <protection locked="0"/>
    </xf>
    <xf numFmtId="9" fontId="0" fillId="0" borderId="81" xfId="40" applyNumberFormat="1" applyFont="1" applyBorder="1" applyAlignment="1" applyProtection="1">
      <alignment horizontal="center" vertical="center"/>
      <protection locked="0"/>
    </xf>
    <xf numFmtId="0" fontId="3" fillId="0" borderId="60" xfId="40" applyFont="1" applyBorder="1" applyAlignment="1" applyProtection="1">
      <alignment horizontal="centerContinuous" vertical="center"/>
      <protection locked="0"/>
    </xf>
    <xf numFmtId="0" fontId="56" fillId="0" borderId="61" xfId="40" applyFont="1" applyBorder="1" applyAlignment="1" applyProtection="1">
      <alignment horizontal="centerContinuous" vertical="center"/>
      <protection locked="0"/>
    </xf>
    <xf numFmtId="165" fontId="3" fillId="26" borderId="84" xfId="40" applyNumberFormat="1" applyFont="1" applyFill="1" applyBorder="1" applyAlignment="1" applyProtection="1">
      <alignment horizontal="right" vertical="center"/>
      <protection locked="0"/>
    </xf>
    <xf numFmtId="9" fontId="0" fillId="0" borderId="48" xfId="40" applyNumberFormat="1" applyFont="1" applyBorder="1" applyAlignment="1" applyProtection="1">
      <alignment horizontal="center" vertical="center"/>
      <protection locked="0"/>
    </xf>
    <xf numFmtId="0" fontId="3" fillId="0" borderId="66" xfId="40" applyFont="1" applyBorder="1" applyAlignment="1" applyProtection="1">
      <alignment horizontal="centerContinuous" vertical="center"/>
      <protection locked="0"/>
    </xf>
    <xf numFmtId="0" fontId="56" fillId="0" borderId="67" xfId="40" applyFont="1" applyBorder="1" applyAlignment="1" applyProtection="1">
      <alignment horizontal="centerContinuous" vertical="center"/>
      <protection locked="0"/>
    </xf>
    <xf numFmtId="165" fontId="3" fillId="26" borderId="85" xfId="40" applyNumberFormat="1" applyFont="1" applyFill="1" applyBorder="1" applyAlignment="1" applyProtection="1">
      <alignment horizontal="right" vertical="center"/>
      <protection locked="0"/>
    </xf>
    <xf numFmtId="9" fontId="0" fillId="0" borderId="82" xfId="40" applyNumberFormat="1" applyFont="1" applyBorder="1" applyAlignment="1" applyProtection="1">
      <alignment horizontal="center" vertical="center"/>
      <protection locked="0"/>
    </xf>
    <xf numFmtId="0" fontId="3" fillId="0" borderId="79" xfId="40" applyFont="1" applyBorder="1" applyAlignment="1" applyProtection="1">
      <alignment horizontal="centerContinuous" vertical="center"/>
      <protection locked="0"/>
    </xf>
    <xf numFmtId="0" fontId="56" fillId="0" borderId="80" xfId="40" applyFont="1" applyBorder="1" applyAlignment="1" applyProtection="1">
      <alignment horizontal="centerContinuous" vertical="center"/>
      <protection locked="0"/>
    </xf>
    <xf numFmtId="0" fontId="3" fillId="0" borderId="81" xfId="40" quotePrefix="1" applyFont="1" applyFill="1" applyBorder="1" applyAlignment="1">
      <alignment horizontal="left" wrapText="1"/>
    </xf>
    <xf numFmtId="0" fontId="2" fillId="0" borderId="48" xfId="40" quotePrefix="1" applyFont="1" applyFill="1" applyBorder="1" applyAlignment="1">
      <alignment horizontal="left" wrapText="1"/>
    </xf>
    <xf numFmtId="0" fontId="2" fillId="0" borderId="0" xfId="52" applyFont="1"/>
    <xf numFmtId="0" fontId="12" fillId="20" borderId="0" xfId="44" applyFont="1" applyFill="1" applyBorder="1" applyAlignment="1">
      <alignment horizontal="left" vertical="center" wrapText="1"/>
    </xf>
    <xf numFmtId="0" fontId="16" fillId="20" borderId="0" xfId="44" applyFont="1" applyFill="1" applyBorder="1" applyAlignment="1">
      <alignment horizontal="left" vertical="center" wrapText="1"/>
    </xf>
    <xf numFmtId="0" fontId="0" fillId="20" borderId="26" xfId="0" applyFill="1" applyBorder="1" applyAlignment="1">
      <alignment horizontal="center" vertical="center" wrapText="1"/>
    </xf>
    <xf numFmtId="0" fontId="0" fillId="20" borderId="12" xfId="0" applyFill="1" applyBorder="1" applyAlignment="1">
      <alignment horizontal="center" vertical="center" wrapText="1"/>
    </xf>
    <xf numFmtId="0" fontId="12" fillId="20" borderId="0" xfId="0" applyFont="1" applyFill="1" applyAlignment="1">
      <alignment horizontal="left" vertical="center"/>
    </xf>
    <xf numFmtId="0" fontId="13" fillId="20" borderId="13" xfId="0" applyFont="1" applyFill="1" applyBorder="1" applyAlignment="1">
      <alignment horizontal="left"/>
    </xf>
    <xf numFmtId="0" fontId="13" fillId="20" borderId="0" xfId="0" applyFont="1" applyFill="1" applyAlignment="1" applyProtection="1">
      <alignment horizontal="center"/>
      <protection locked="0"/>
    </xf>
    <xf numFmtId="0" fontId="12" fillId="20" borderId="0" xfId="0" applyFont="1" applyFill="1" applyAlignment="1">
      <alignment horizontal="left" vertical="center" wrapText="1"/>
    </xf>
    <xf numFmtId="0" fontId="12" fillId="20" borderId="0" xfId="0" applyFont="1" applyFill="1" applyAlignment="1" applyProtection="1">
      <alignment horizontal="left" vertical="center" wrapText="1"/>
      <protection locked="0"/>
    </xf>
    <xf numFmtId="0" fontId="12" fillId="19" borderId="0" xfId="0" applyFont="1" applyFill="1" applyAlignment="1">
      <alignment horizontal="center"/>
    </xf>
    <xf numFmtId="0" fontId="45" fillId="20" borderId="0" xfId="0" applyFont="1" applyFill="1" applyAlignment="1">
      <alignment horizontal="center"/>
    </xf>
    <xf numFmtId="0" fontId="48" fillId="0" borderId="29" xfId="60" applyFont="1" applyFill="1" applyBorder="1" applyAlignment="1">
      <alignment horizontal="center"/>
    </xf>
    <xf numFmtId="0" fontId="48" fillId="0" borderId="10" xfId="60" applyFont="1" applyFill="1" applyBorder="1" applyAlignment="1">
      <alignment horizontal="center"/>
    </xf>
    <xf numFmtId="0" fontId="48" fillId="0" borderId="30" xfId="60" applyFont="1" applyFill="1" applyBorder="1" applyAlignment="1">
      <alignment horizontal="center"/>
    </xf>
    <xf numFmtId="0" fontId="55" fillId="0" borderId="0" xfId="40" applyFont="1" applyFill="1" applyAlignment="1">
      <alignment horizontal="center"/>
    </xf>
    <xf numFmtId="0" fontId="11" fillId="0" borderId="29" xfId="52" applyFill="1" applyBorder="1" applyAlignment="1">
      <alignment horizontal="center"/>
    </xf>
    <xf numFmtId="0" fontId="11" fillId="0" borderId="30" xfId="52" applyFill="1" applyBorder="1" applyAlignment="1">
      <alignment horizontal="center"/>
    </xf>
    <xf numFmtId="0" fontId="6" fillId="0" borderId="23" xfId="52" applyFont="1" applyBorder="1" applyAlignment="1">
      <alignment horizontal="left"/>
    </xf>
    <xf numFmtId="0" fontId="11" fillId="0" borderId="23" xfId="52" applyBorder="1" applyAlignment="1">
      <alignment horizontal="left"/>
    </xf>
    <xf numFmtId="0" fontId="11" fillId="0" borderId="23" xfId="52" applyBorder="1" applyAlignment="1">
      <alignment horizontal="center"/>
    </xf>
    <xf numFmtId="0" fontId="11" fillId="22" borderId="23" xfId="52" applyFill="1" applyBorder="1" applyAlignment="1">
      <alignment horizontal="center"/>
    </xf>
    <xf numFmtId="0" fontId="11" fillId="0" borderId="29" xfId="52" applyBorder="1" applyAlignment="1">
      <alignment horizontal="center"/>
    </xf>
    <xf numFmtId="0" fontId="11" fillId="0" borderId="30" xfId="52" applyBorder="1" applyAlignment="1">
      <alignment horizontal="center"/>
    </xf>
    <xf numFmtId="0" fontId="6" fillId="0" borderId="23" xfId="52" applyFont="1" applyBorder="1" applyAlignment="1">
      <alignment horizontal="left" wrapText="1"/>
    </xf>
    <xf numFmtId="0" fontId="11" fillId="0" borderId="23" xfId="52" applyBorder="1" applyAlignment="1">
      <alignment horizontal="left" wrapText="1"/>
    </xf>
    <xf numFmtId="0" fontId="13" fillId="0" borderId="29" xfId="56" applyNumberFormat="1" applyFont="1" applyFill="1" applyBorder="1" applyAlignment="1">
      <alignment horizontal="center" vertical="center" wrapText="1"/>
    </xf>
    <xf numFmtId="0" fontId="13" fillId="0" borderId="30" xfId="56" applyNumberFormat="1" applyFont="1" applyFill="1" applyBorder="1" applyAlignment="1">
      <alignment horizontal="center" vertical="center" wrapText="1"/>
    </xf>
    <xf numFmtId="0" fontId="13" fillId="0" borderId="29" xfId="55" applyFont="1" applyBorder="1" applyAlignment="1">
      <alignment horizontal="center"/>
    </xf>
    <xf numFmtId="0" fontId="13" fillId="0" borderId="10" xfId="55" applyFont="1" applyBorder="1" applyAlignment="1">
      <alignment horizontal="center"/>
    </xf>
    <xf numFmtId="0" fontId="13" fillId="0" borderId="30" xfId="55" applyFont="1" applyBorder="1" applyAlignment="1">
      <alignment horizontal="center"/>
    </xf>
    <xf numFmtId="0" fontId="11" fillId="0" borderId="29" xfId="52" applyFill="1" applyBorder="1" applyAlignment="1">
      <alignment horizontal="left"/>
    </xf>
    <xf numFmtId="0" fontId="11" fillId="0" borderId="30" xfId="52" applyFill="1" applyBorder="1" applyAlignment="1">
      <alignment horizontal="left"/>
    </xf>
    <xf numFmtId="0" fontId="11" fillId="0" borderId="29" xfId="52" applyBorder="1" applyAlignment="1">
      <alignment horizontal="left"/>
    </xf>
    <xf numFmtId="0" fontId="11" fillId="0" borderId="30" xfId="52" applyBorder="1" applyAlignment="1">
      <alignment horizontal="left"/>
    </xf>
    <xf numFmtId="0" fontId="48" fillId="22" borderId="23" xfId="52" applyFont="1" applyFill="1" applyBorder="1" applyAlignment="1">
      <alignment horizontal="center" vertical="center" wrapText="1"/>
    </xf>
    <xf numFmtId="0" fontId="48" fillId="22" borderId="29" xfId="52" applyFont="1" applyFill="1" applyBorder="1" applyAlignment="1">
      <alignment horizontal="center" vertical="center"/>
    </xf>
    <xf numFmtId="0" fontId="48" fillId="22" borderId="30" xfId="52" applyFont="1" applyFill="1" applyBorder="1" applyAlignment="1">
      <alignment horizontal="center" vertical="center"/>
    </xf>
    <xf numFmtId="0" fontId="48" fillId="22" borderId="34" xfId="52" applyFont="1" applyFill="1" applyBorder="1" applyAlignment="1">
      <alignment horizontal="center" vertical="center"/>
    </xf>
    <xf numFmtId="0" fontId="48" fillId="22" borderId="35" xfId="52" applyFont="1" applyFill="1" applyBorder="1" applyAlignment="1">
      <alignment horizontal="center" vertical="center"/>
    </xf>
    <xf numFmtId="0" fontId="49" fillId="22" borderId="23" xfId="52" applyFont="1" applyFill="1" applyBorder="1" applyAlignment="1">
      <alignment horizontal="center"/>
    </xf>
    <xf numFmtId="0" fontId="48" fillId="22" borderId="23" xfId="52" applyFont="1" applyFill="1" applyBorder="1" applyAlignment="1">
      <alignment horizontal="center"/>
    </xf>
    <xf numFmtId="0" fontId="11" fillId="22" borderId="29" xfId="52" applyFill="1" applyBorder="1" applyAlignment="1">
      <alignment horizontal="center" wrapText="1"/>
    </xf>
    <xf numFmtId="0" fontId="11" fillId="22" borderId="30" xfId="52" applyFill="1" applyBorder="1" applyAlignment="1">
      <alignment horizontal="center" wrapText="1"/>
    </xf>
    <xf numFmtId="0" fontId="11" fillId="0" borderId="29" xfId="52" applyBorder="1" applyAlignment="1">
      <alignment horizontal="right"/>
    </xf>
    <xf numFmtId="0" fontId="11" fillId="0" borderId="30" xfId="52" applyBorder="1" applyAlignment="1">
      <alignment horizontal="right"/>
    </xf>
    <xf numFmtId="0" fontId="11" fillId="0" borderId="0" xfId="52" applyAlignment="1">
      <alignment horizontal="left" wrapText="1"/>
    </xf>
  </cellXfs>
  <cellStyles count="8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51" builtinId="3"/>
    <cellStyle name="Comma 2" xfId="54" xr:uid="{00000000-0005-0000-0000-00001C000000}"/>
    <cellStyle name="Comma 2 2" xfId="69" xr:uid="{00000000-0005-0000-0000-00001D000000}"/>
    <cellStyle name="Comma 3" xfId="62" xr:uid="{00000000-0005-0000-0000-00001E000000}"/>
    <cellStyle name="Comma 4" xfId="66" xr:uid="{00000000-0005-0000-0000-00001F000000}"/>
    <cellStyle name="Comma 5" xfId="74" xr:uid="{00000000-0005-0000-0000-000020000000}"/>
    <cellStyle name="Comma 6" xfId="80" xr:uid="{00000000-0005-0000-0000-000021000000}"/>
    <cellStyle name="Currency" xfId="28" builtinId="4"/>
    <cellStyle name="Currency 2" xfId="58" xr:uid="{00000000-0005-0000-0000-000023000000}"/>
    <cellStyle name="Currency 2 2" xfId="59" xr:uid="{00000000-0005-0000-0000-000024000000}"/>
    <cellStyle name="Currency 3" xfId="61" xr:uid="{00000000-0005-0000-0000-000025000000}"/>
    <cellStyle name="Currency 4" xfId="65" xr:uid="{00000000-0005-0000-0000-000026000000}"/>
    <cellStyle name="Currency 5" xfId="75" xr:uid="{00000000-0005-0000-0000-000027000000}"/>
    <cellStyle name="Currency 6" xfId="81" xr:uid="{00000000-0005-0000-0000-000028000000}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 2" xfId="35" xr:uid="{00000000-0005-0000-0000-00002F000000}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10" xfId="77" xr:uid="{00000000-0005-0000-0000-000034000000}"/>
    <cellStyle name="Normal 11" xfId="78" xr:uid="{00000000-0005-0000-0000-000035000000}"/>
    <cellStyle name="Normal 2" xfId="39" xr:uid="{00000000-0005-0000-0000-000036000000}"/>
    <cellStyle name="Normal 2 2" xfId="40" xr:uid="{00000000-0005-0000-0000-000037000000}"/>
    <cellStyle name="Normal 2_Modernization Project Calcs (Confidential) - ATC 13076" xfId="41" xr:uid="{00000000-0005-0000-0000-000038000000}"/>
    <cellStyle name="Normal 27" xfId="57" xr:uid="{00000000-0005-0000-0000-000039000000}"/>
    <cellStyle name="Normal 29" xfId="55" xr:uid="{00000000-0005-0000-0000-00003A000000}"/>
    <cellStyle name="Normal 3" xfId="42" xr:uid="{00000000-0005-0000-0000-00003B000000}"/>
    <cellStyle name="Normal 3 2" xfId="72" xr:uid="{00000000-0005-0000-0000-00003C000000}"/>
    <cellStyle name="Normal 30" xfId="56" xr:uid="{00000000-0005-0000-0000-00003D000000}"/>
    <cellStyle name="Normal 4" xfId="52" xr:uid="{00000000-0005-0000-0000-00003E000000}"/>
    <cellStyle name="Normal 5" xfId="60" xr:uid="{00000000-0005-0000-0000-00003F000000}"/>
    <cellStyle name="Normal 6" xfId="64" xr:uid="{00000000-0005-0000-0000-000040000000}"/>
    <cellStyle name="Normal 7" xfId="68" xr:uid="{00000000-0005-0000-0000-000041000000}"/>
    <cellStyle name="Normal 8" xfId="70" xr:uid="{00000000-0005-0000-0000-000042000000}"/>
    <cellStyle name="Normal 9" xfId="76" xr:uid="{00000000-0005-0000-0000-000043000000}"/>
    <cellStyle name="Normal_Revised Emission Calcs_11.14.07" xfId="43" xr:uid="{00000000-0005-0000-0000-000044000000}"/>
    <cellStyle name="Normal_RTO BACT cost analysis" xfId="44" xr:uid="{00000000-0005-0000-0000-000045000000}"/>
    <cellStyle name="Note" xfId="45" builtinId="10" customBuiltin="1"/>
    <cellStyle name="Output" xfId="46" builtinId="21" customBuiltin="1"/>
    <cellStyle name="Percent 2" xfId="53" xr:uid="{00000000-0005-0000-0000-000048000000}"/>
    <cellStyle name="Percent 2 2" xfId="71" xr:uid="{00000000-0005-0000-0000-000049000000}"/>
    <cellStyle name="Percent 3" xfId="63" xr:uid="{00000000-0005-0000-0000-00004A000000}"/>
    <cellStyle name="Percent 4" xfId="67" xr:uid="{00000000-0005-0000-0000-00004B000000}"/>
    <cellStyle name="Percent 5" xfId="73" xr:uid="{00000000-0005-0000-0000-00004C000000}"/>
    <cellStyle name="Percent 6" xfId="79" xr:uid="{00000000-0005-0000-0000-00004D000000}"/>
    <cellStyle name="Shade" xfId="47" xr:uid="{00000000-0005-0000-0000-00004E000000}"/>
    <cellStyle name="Title" xfId="48" builtinId="15" customBuiltin="1"/>
    <cellStyle name="Total" xfId="49" builtinId="25" customBuiltin="1"/>
    <cellStyle name="Warning Text" xfId="50" builtinId="11" customBuiltin="1"/>
  </cellStyles>
  <dxfs count="208"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lightUp">
          <fgColor theme="0" tint="-0.34998626667073579"/>
        </patternFill>
      </fill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haredStrings" Target="sharedStrings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wtf1fp001\AQES\Documents%20and%20Settings\mraab\Local%20Settings\Temporary%20Internet%20Files\OLK17D\My%20Documents\Projects\Duke%20-%202355\Duke%20Kaufman%20-%202355016\Old%20Kaufman%20Emission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alekdm33\Box%20Sync\CPAI_GMT2_NEPA\400-Technical\Emissions%20Inventory\A_Roaded%20Year-Round%20Drilling%20(Proposed%20Action)\GMT1_Drilling_Inventory_Emissions_20_SEP_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xxonMobil\Alaska\GTP%20Pre-BACT%20Analysis\July%202016%20Update\GTP%20Turbine%20Calc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xxonMobil\Alaska\GTP%20Pre-BACT%20Analysis\December%202017\Trade%20Secrets_GTP%20BACT_APP%20B_TG%20Compressor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alekdm33\Box%20Sync\CPAI_GMT2_NEPA\400-Technical\Emissions%20Inventory\A_Roaded%20Year-Round%20Drilling%20(Proposed%20Action)\GMT2_Construction_Equipment_Emissions_Ver1-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alekdm33\Box%20Sync\CPAI_GMT2_NEPA\400-Technical\Emissions%20Inventory\A_Roaded%20Year-Round%20Drilling%20(Proposed%20Action)\GMT1_Construction_Equipment_Emissions_22_SEP_20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aust Flow Comparison"/>
      <sheetName val="Exhaust Flow Chart"/>
      <sheetName val="CTG Hourly Emissions"/>
      <sheetName val="CTG Concentration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5 PTE"/>
      <sheetName val="NOx"/>
      <sheetName val="CO"/>
      <sheetName val="SO2"/>
      <sheetName val="Modeling - Load Revisions"/>
      <sheetName val="PM10"/>
      <sheetName val="PM2.5"/>
      <sheetName val="VOC"/>
      <sheetName val="CO2e"/>
      <sheetName val="Support Equip Calcs"/>
      <sheetName val="DOYON 141 Emission Units"/>
      <sheetName val="DOYON 19 Emission Units"/>
      <sheetName val="Rig Camp Generator"/>
      <sheetName val="GHG Emission Factors"/>
      <sheetName val="Constants"/>
      <sheetName val="Cat 3512C DITA"/>
      <sheetName val="CAT 3512C Vendor Sheet"/>
      <sheetName val="Support Input Data"/>
      <sheetName val="Support Equip Inven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2">
          <cell r="D2">
            <v>7000</v>
          </cell>
        </row>
        <row r="3">
          <cell r="D3">
            <v>9387</v>
          </cell>
        </row>
        <row r="4">
          <cell r="D4">
            <v>3.3472000000000002E-2</v>
          </cell>
        </row>
        <row r="5">
          <cell r="D5">
            <v>0.95</v>
          </cell>
        </row>
        <row r="6">
          <cell r="D6">
            <v>0.8</v>
          </cell>
        </row>
        <row r="9">
          <cell r="D9">
            <v>129653</v>
          </cell>
        </row>
        <row r="10">
          <cell r="D10">
            <v>121670</v>
          </cell>
        </row>
        <row r="14">
          <cell r="D14">
            <v>0.11</v>
          </cell>
        </row>
      </sheetData>
      <sheetData sheetId="18" refreshError="1">
        <row r="2">
          <cell r="B2" t="str">
            <v>Support Equipment</v>
          </cell>
          <cell r="C2">
            <v>0</v>
          </cell>
          <cell r="D2">
            <v>0</v>
          </cell>
        </row>
        <row r="3">
          <cell r="B3" t="str">
            <v>Equipment</v>
          </cell>
          <cell r="C3" t="str">
            <v>Design
Rating</v>
          </cell>
          <cell r="D3">
            <v>0</v>
          </cell>
        </row>
        <row r="4">
          <cell r="B4">
            <v>0</v>
          </cell>
          <cell r="C4">
            <v>0</v>
          </cell>
          <cell r="D4">
            <v>0</v>
          </cell>
        </row>
        <row r="5">
          <cell r="B5" t="str">
            <v>Cat D3412</v>
          </cell>
          <cell r="C5">
            <v>500</v>
          </cell>
          <cell r="D5" t="str">
            <v>kW</v>
          </cell>
        </row>
        <row r="6">
          <cell r="B6" t="str">
            <v>Cat D3412</v>
          </cell>
          <cell r="C6">
            <v>500</v>
          </cell>
          <cell r="D6" t="str">
            <v>kW</v>
          </cell>
        </row>
        <row r="7">
          <cell r="B7" t="str">
            <v>Lighting Engine</v>
          </cell>
          <cell r="C7">
            <v>11</v>
          </cell>
          <cell r="D7" t="str">
            <v>bhp</v>
          </cell>
        </row>
        <row r="8">
          <cell r="B8" t="str">
            <v>Lighting Engine</v>
          </cell>
          <cell r="C8">
            <v>11</v>
          </cell>
          <cell r="D8" t="str">
            <v>bhp</v>
          </cell>
        </row>
        <row r="9">
          <cell r="B9" t="str">
            <v>Lighting Engine</v>
          </cell>
          <cell r="C9">
            <v>11</v>
          </cell>
          <cell r="D9" t="str">
            <v>bhp</v>
          </cell>
        </row>
        <row r="10">
          <cell r="B10" t="str">
            <v>Lighting Engine</v>
          </cell>
          <cell r="C10">
            <v>11</v>
          </cell>
          <cell r="D10" t="str">
            <v>bhp</v>
          </cell>
        </row>
        <row r="11">
          <cell r="B11" t="str">
            <v>Lighting Engine</v>
          </cell>
          <cell r="C11">
            <v>11</v>
          </cell>
          <cell r="D11" t="str">
            <v>bhp</v>
          </cell>
        </row>
        <row r="12">
          <cell r="B12" t="str">
            <v>Lighting Engine</v>
          </cell>
          <cell r="C12">
            <v>11</v>
          </cell>
          <cell r="D12" t="str">
            <v>bhp</v>
          </cell>
        </row>
        <row r="13">
          <cell r="B13" t="str">
            <v>Lighting Engine</v>
          </cell>
          <cell r="C13">
            <v>11</v>
          </cell>
          <cell r="D13" t="str">
            <v>bhp</v>
          </cell>
        </row>
        <row r="14">
          <cell r="B14" t="str">
            <v>Lighting Engine</v>
          </cell>
          <cell r="C14">
            <v>11</v>
          </cell>
          <cell r="D14" t="str">
            <v>bhp</v>
          </cell>
        </row>
        <row r="15">
          <cell r="B15" t="str">
            <v>Lighting Engine</v>
          </cell>
          <cell r="C15">
            <v>11</v>
          </cell>
          <cell r="D15" t="str">
            <v>bhp</v>
          </cell>
        </row>
        <row r="16">
          <cell r="B16" t="str">
            <v>Lighting Engine</v>
          </cell>
          <cell r="C16">
            <v>11</v>
          </cell>
          <cell r="D16" t="str">
            <v>bhp</v>
          </cell>
        </row>
        <row r="17">
          <cell r="B17" t="str">
            <v>Snow Melter</v>
          </cell>
          <cell r="C17">
            <v>8.8000000000000007</v>
          </cell>
          <cell r="D17" t="str">
            <v>MMBtu/hr</v>
          </cell>
        </row>
        <row r="18">
          <cell r="B18" t="str">
            <v>Portable Heater</v>
          </cell>
          <cell r="C18">
            <v>0.2</v>
          </cell>
          <cell r="D18" t="str">
            <v>MMBtu/hr</v>
          </cell>
        </row>
        <row r="19">
          <cell r="B19" t="str">
            <v>Portable Heater</v>
          </cell>
          <cell r="C19">
            <v>0.2</v>
          </cell>
          <cell r="D19" t="str">
            <v>MMBtu/hr</v>
          </cell>
        </row>
        <row r="20">
          <cell r="B20" t="str">
            <v>Portable Heater</v>
          </cell>
          <cell r="C20">
            <v>0.2</v>
          </cell>
          <cell r="D20" t="str">
            <v>MMBtu/hr</v>
          </cell>
        </row>
        <row r="21">
          <cell r="B21" t="str">
            <v>Portable Heater</v>
          </cell>
          <cell r="C21">
            <v>0.2</v>
          </cell>
          <cell r="D21" t="str">
            <v>MMBtu/hr</v>
          </cell>
        </row>
        <row r="22">
          <cell r="B22" t="str">
            <v>Portable Heater</v>
          </cell>
          <cell r="C22">
            <v>0.2</v>
          </cell>
          <cell r="D22" t="str">
            <v>MMBtu/hr</v>
          </cell>
        </row>
        <row r="23">
          <cell r="B23" t="str">
            <v>Portable Welder or Compressor Engine</v>
          </cell>
          <cell r="C23">
            <v>60</v>
          </cell>
          <cell r="D23" t="str">
            <v>bhp</v>
          </cell>
        </row>
        <row r="24">
          <cell r="B24" t="str">
            <v>Portable Welder or Compressor Engine</v>
          </cell>
          <cell r="C24">
            <v>60</v>
          </cell>
          <cell r="D24" t="str">
            <v>bhp</v>
          </cell>
        </row>
        <row r="25">
          <cell r="B25" t="str">
            <v>Portable Power Generator</v>
          </cell>
          <cell r="C25">
            <v>50</v>
          </cell>
          <cell r="D25" t="str">
            <v>kW</v>
          </cell>
        </row>
        <row r="26">
          <cell r="B26">
            <v>0</v>
          </cell>
          <cell r="C26">
            <v>0</v>
          </cell>
          <cell r="D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iceNo"/>
      <sheetName val="Vendor"/>
      <sheetName val="Data"/>
      <sheetName val="EF"/>
      <sheetName val="ST"/>
      <sheetName val="LT"/>
      <sheetName val="Vari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C8">
            <v>1077</v>
          </cell>
        </row>
        <row r="12">
          <cell r="C12">
            <v>15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optimization"/>
      <sheetName val="Output Summary"/>
      <sheetName val="SCR Heater"/>
      <sheetName val="DLN, ULNB Turbine"/>
      <sheetName val="DLN, ULNB Heater"/>
      <sheetName val="TG Compression -  SCR"/>
      <sheetName val="TG Compression -  CO Cat"/>
      <sheetName val="Ox Cat Heater"/>
      <sheetName val="Generic"/>
    </sheetNames>
    <sheetDataSet>
      <sheetData sheetId="0">
        <row r="4">
          <cell r="F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B10" t="str">
            <v>SOx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Data Original"/>
      <sheetName val="Revisions"/>
      <sheetName val="Source Data Revised"/>
      <sheetName val="Source Data With Multipliers"/>
      <sheetName val="Hours per Day-Month-Year"/>
      <sheetName val="GMT1 and GMT2 Comparison"/>
      <sheetName val="NOx (2)"/>
      <sheetName val="CO (2)"/>
      <sheetName val="SO2 (2)"/>
      <sheetName val="PM10 (2)"/>
      <sheetName val="PM2.5 (2)"/>
      <sheetName val="VOC (2)"/>
      <sheetName val="HAPS (2)"/>
      <sheetName val="CO2e (2)"/>
      <sheetName val="NR NOx lb per hr"/>
      <sheetName val="NR CO lb per hr"/>
      <sheetName val="NR VOC lb per hr"/>
      <sheetName val="NR SO2 lb per hr"/>
      <sheetName val="NR PM10 lb per hr"/>
      <sheetName val="NR PM2.5 lb per hr"/>
      <sheetName val="NR NOx avg lb per hr"/>
      <sheetName val="NR CO avg lb per hr"/>
      <sheetName val="NR VOC avg lb per hr"/>
      <sheetName val="NR SO2 avg lb per hr"/>
      <sheetName val="NR PM10 avg lb per hr"/>
      <sheetName val="NR PM2.5 avg lb per hr"/>
      <sheetName val="NR NOx tpy"/>
      <sheetName val="NR CO tpy"/>
      <sheetName val="NR VOC tpy"/>
      <sheetName val="NR SO2 tpy"/>
      <sheetName val="NR PM10 tpy"/>
      <sheetName val="NR PM2.5 tpy"/>
      <sheetName val="NR HAPs tpy"/>
      <sheetName val="NR HAPs tpm"/>
      <sheetName val="NR GHG tpy"/>
      <sheetName val="OR NOx lb per hour"/>
      <sheetName val="OR CO lb per hour"/>
      <sheetName val="OR VOC lb per hour"/>
      <sheetName val="OR SO2 lb per hour"/>
      <sheetName val="OR PM10 lb per hour"/>
      <sheetName val="OR PM2.5 lb per hour"/>
      <sheetName val="OR NOx avg lb per hour"/>
      <sheetName val="OR CO avg lb per hour"/>
      <sheetName val="OR VOC avg lb per hour"/>
      <sheetName val="OR SO2 avg lb per hour"/>
      <sheetName val="OR PM10 avg lb per hour"/>
      <sheetName val="OR PM2.5 avg lb per hour"/>
      <sheetName val="OR NOx tpy"/>
      <sheetName val="OR CO tpy"/>
      <sheetName val="OR VOC tpy"/>
      <sheetName val="OR SO2 tpy"/>
      <sheetName val="OR PM10 tpy"/>
      <sheetName val="OR PM2.5 tpy"/>
      <sheetName val="OR GHG tpy"/>
      <sheetName val="OR HAPs tpy"/>
      <sheetName val="Heater-Engine NOx"/>
      <sheetName val="Heater-Engine CO"/>
      <sheetName val="Heater-Engine VOC"/>
      <sheetName val="Heater-Engine SO2"/>
      <sheetName val="Heater-Engine PM10"/>
      <sheetName val="Heater-Engine PM2.5"/>
      <sheetName val="TAF-LF"/>
      <sheetName val="CO"/>
      <sheetName val="PM"/>
      <sheetName val="THC"/>
      <sheetName val="NOx"/>
      <sheetName val="BSFC"/>
      <sheetName val="Median Life"/>
      <sheetName val="A Coeff"/>
      <sheetName val="Heater-Engine GHG HAPs"/>
      <sheetName val="Bla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5">
          <cell r="D15">
            <v>0.151</v>
          </cell>
          <cell r="E15">
            <v>8.0000000000000002E-3</v>
          </cell>
          <cell r="F15">
            <v>0.47299999999999998</v>
          </cell>
          <cell r="G15">
            <v>2.7E-2</v>
          </cell>
        </row>
      </sheetData>
      <sheetData sheetId="69"/>
      <sheetData sheetId="7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Data"/>
      <sheetName val="Hours per Day-Month-Year"/>
      <sheetName val="NR NOx lb per hr"/>
      <sheetName val="NR CO lb per hr"/>
      <sheetName val="NR VOC lb per hr"/>
      <sheetName val="NR SO2 lb per hr"/>
      <sheetName val="NR PM10 lb per hr"/>
      <sheetName val="NR PM2.5 lb per hr"/>
      <sheetName val="NR NOx avg lb per hr"/>
      <sheetName val="NR CO avg lb per hr"/>
      <sheetName val="NR VOC avg lb per hr"/>
      <sheetName val="NR SO2 avg lb per hr"/>
      <sheetName val="NR PM10 avg lb per hr"/>
      <sheetName val="NR PM2.5 avg lb per hr"/>
      <sheetName val="NOx (2)"/>
      <sheetName val="CO (2)"/>
      <sheetName val="SO2 (2)"/>
      <sheetName val="PM10 (2)"/>
      <sheetName val="PM2.5 (2)"/>
      <sheetName val="VOC (2)"/>
      <sheetName val="HAPS (2)"/>
      <sheetName val="CO2e (2)"/>
      <sheetName val="NR NOx tpy"/>
      <sheetName val="NR CO tpy"/>
      <sheetName val="NR VOC tpy"/>
      <sheetName val="NR SO2 tpy"/>
      <sheetName val="NR PM10 tpy"/>
      <sheetName val="NR PM2.5 tpy"/>
      <sheetName val="NR HAPs tpy"/>
      <sheetName val="NR GHG tpy"/>
      <sheetName val="OR NOx lb per hour"/>
      <sheetName val="OR CO lb per hour"/>
      <sheetName val="OR VOC lb per hour"/>
      <sheetName val="OR SO2 lb per hour"/>
      <sheetName val="OR PM10 lb per hour"/>
      <sheetName val="OR PM2.5 lb per hour"/>
      <sheetName val="OR NOx avg lb per hour"/>
      <sheetName val="OR CO avg lb per hour"/>
      <sheetName val="OR VOC avg lb per hour"/>
      <sheetName val="OR SO2 avg lb per hour"/>
      <sheetName val="OR PM10 avg lb per hour"/>
      <sheetName val="OR PM2.5 avg lb per hour"/>
      <sheetName val="OR NOx tpy"/>
      <sheetName val="OR CO tpy"/>
      <sheetName val="OR VOC tpy"/>
      <sheetName val="OR SO2 tpy"/>
      <sheetName val="OR PM10 tpy"/>
      <sheetName val="OR PM2.5 tpy"/>
      <sheetName val="OR GHG tpy"/>
      <sheetName val="OR HAPs tpy"/>
      <sheetName val="Heater-Engine NOx"/>
      <sheetName val="Heater-Engine CO"/>
      <sheetName val="Heater-Engine VOC"/>
      <sheetName val="Heater-Engine SO2"/>
      <sheetName val="Heater-Engine PM10"/>
      <sheetName val="Heater-Engine PM2.5"/>
      <sheetName val="Heater-Engine GHG HAPs"/>
      <sheetName val="TAF-LF"/>
      <sheetName val="CO"/>
      <sheetName val="PM"/>
      <sheetName val="THC"/>
      <sheetName val="NOx"/>
      <sheetName val="BSFC"/>
      <sheetName val="Median Life"/>
      <sheetName val="A Coeff"/>
      <sheetName val="Rig Camp Generator"/>
      <sheetName val="Airport Emissions"/>
      <sheetName val="EDMS Raw Reports"/>
      <sheetName val="Bla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>
        <row r="15">
          <cell r="D15">
            <v>0.151</v>
          </cell>
          <cell r="E15">
            <v>8.0000000000000002E-3</v>
          </cell>
          <cell r="F15">
            <v>0.47299999999999998</v>
          </cell>
          <cell r="G15">
            <v>2.7E-2</v>
          </cell>
        </row>
      </sheetData>
      <sheetData sheetId="65" refreshError="1"/>
      <sheetData sheetId="66" refreshError="1"/>
      <sheetData sheetId="67" refreshError="1"/>
      <sheetData sheetId="6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ia.doe.gov/cneaf/electricity/epm/table5_6_a.html" TargetMode="External"/><Relationship Id="rId1" Type="http://schemas.openxmlformats.org/officeDocument/2006/relationships/hyperlink" Target="http://tonto.eia.doe.gov/dnav/ng/ng_pri_sum_dcu_SCA_m.ht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eia.doe.gov/cneaf/electricity/epm/table5_6_a.html" TargetMode="External"/><Relationship Id="rId1" Type="http://schemas.openxmlformats.org/officeDocument/2006/relationships/hyperlink" Target="http://tonto.eia.doe.gov/dnav/ng/ng_pri_sum_dcu_SCA_m.ht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eia.doe.gov/cneaf/electricity/epm/table5_6_a.html" TargetMode="External"/><Relationship Id="rId1" Type="http://schemas.openxmlformats.org/officeDocument/2006/relationships/hyperlink" Target="http://tonto.eia.doe.gov/dnav/ng/ng_pri_sum_dcu_SCA_m.ht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11"/>
  <sheetViews>
    <sheetView topLeftCell="A106" zoomScale="80" zoomScaleNormal="80" workbookViewId="0">
      <selection activeCell="B149" sqref="B149"/>
    </sheetView>
  </sheetViews>
  <sheetFormatPr defaultColWidth="9.140625" defaultRowHeight="12.75" x14ac:dyDescent="0.2"/>
  <cols>
    <col min="1" max="1" width="29.85546875" style="21" customWidth="1"/>
    <col min="2" max="3" width="12.7109375" style="22" customWidth="1"/>
    <col min="4" max="4" width="25" style="22" bestFit="1" customWidth="1"/>
    <col min="5" max="5" width="18.7109375" style="22" bestFit="1" customWidth="1"/>
    <col min="6" max="6" width="12.7109375" style="21" customWidth="1"/>
    <col min="7" max="7" width="20.7109375" style="31" customWidth="1"/>
    <col min="8" max="8" width="12.7109375" style="21" customWidth="1"/>
    <col min="9" max="16384" width="9.140625" style="21"/>
  </cols>
  <sheetData>
    <row r="1" spans="1:7" ht="13.5" thickBot="1" x14ac:dyDescent="0.25"/>
    <row r="2" spans="1:7" x14ac:dyDescent="0.2">
      <c r="D2" s="23" t="s">
        <v>105</v>
      </c>
      <c r="E2" s="62"/>
      <c r="F2" s="85"/>
      <c r="G2" s="145" t="s">
        <v>68</v>
      </c>
    </row>
    <row r="3" spans="1:7" x14ac:dyDescent="0.2">
      <c r="A3" s="97" t="s">
        <v>52</v>
      </c>
      <c r="B3" s="98" t="s">
        <v>53</v>
      </c>
      <c r="C3" s="99">
        <f>4+50</f>
        <v>54</v>
      </c>
      <c r="D3" s="25">
        <f>C3*10^3/1020</f>
        <v>52.941176470588232</v>
      </c>
      <c r="E3" s="150" t="s">
        <v>101</v>
      </c>
      <c r="F3" s="7"/>
      <c r="G3" s="146">
        <v>0.5</v>
      </c>
    </row>
    <row r="4" spans="1:7" x14ac:dyDescent="0.2">
      <c r="A4" s="97" t="s">
        <v>54</v>
      </c>
      <c r="B4" s="99"/>
      <c r="C4" s="100">
        <f>(C12 - C14)/C12</f>
        <v>0.72688666660688495</v>
      </c>
      <c r="E4" s="151" t="s">
        <v>102</v>
      </c>
      <c r="F4" s="9"/>
      <c r="G4" s="147">
        <v>0.1</v>
      </c>
    </row>
    <row r="5" spans="1:7" x14ac:dyDescent="0.2">
      <c r="A5" s="101" t="s">
        <v>59</v>
      </c>
      <c r="B5" s="102"/>
      <c r="C5" s="103">
        <f>(((2*C12)+0.7)*C4)/C12</f>
        <v>7.1708594750656731</v>
      </c>
      <c r="D5" s="26"/>
      <c r="E5" s="151" t="s">
        <v>70</v>
      </c>
      <c r="F5" s="89" t="s">
        <v>64</v>
      </c>
      <c r="G5" s="148">
        <v>71</v>
      </c>
    </row>
    <row r="6" spans="1:7" x14ac:dyDescent="0.2">
      <c r="A6" s="101" t="s">
        <v>60</v>
      </c>
      <c r="B6" s="102"/>
      <c r="C6" s="104">
        <f>C4/C5</f>
        <v>0.10136674259681094</v>
      </c>
      <c r="D6" s="26"/>
      <c r="E6" s="151" t="s">
        <v>71</v>
      </c>
      <c r="F6" s="89" t="s">
        <v>72</v>
      </c>
      <c r="G6" s="148">
        <v>60.06</v>
      </c>
    </row>
    <row r="7" spans="1:7" ht="13.5" thickBot="1" x14ac:dyDescent="0.25">
      <c r="A7" s="101" t="s">
        <v>61</v>
      </c>
      <c r="B7" s="105" t="s">
        <v>12</v>
      </c>
      <c r="C7" s="103">
        <f>(C12*C3*C4*C5*G6)/(2*46.01)</f>
        <v>16.350264393897643</v>
      </c>
      <c r="D7" s="26"/>
      <c r="E7" s="152" t="s">
        <v>89</v>
      </c>
      <c r="F7" s="91" t="s">
        <v>90</v>
      </c>
      <c r="G7" s="149">
        <v>0.85</v>
      </c>
    </row>
    <row r="8" spans="1:7" x14ac:dyDescent="0.2">
      <c r="A8" s="101" t="s">
        <v>62</v>
      </c>
      <c r="B8" s="105" t="s">
        <v>12</v>
      </c>
      <c r="C8" s="103">
        <f>C7/G3</f>
        <v>32.700528787795285</v>
      </c>
      <c r="D8" s="26"/>
    </row>
    <row r="9" spans="1:7" x14ac:dyDescent="0.2">
      <c r="A9" s="101" t="s">
        <v>63</v>
      </c>
      <c r="B9" s="105" t="s">
        <v>65</v>
      </c>
      <c r="C9" s="103">
        <f>C8*$G$10/G5</f>
        <v>3.4453000788324317</v>
      </c>
      <c r="D9" s="26"/>
    </row>
    <row r="10" spans="1:7" x14ac:dyDescent="0.2">
      <c r="A10" s="101" t="s">
        <v>67</v>
      </c>
      <c r="B10" s="105" t="s">
        <v>66</v>
      </c>
      <c r="C10" s="103">
        <f>C9*14*24</f>
        <v>1157.6208264876971</v>
      </c>
      <c r="D10" s="26"/>
      <c r="E10" s="28" t="s">
        <v>73</v>
      </c>
      <c r="G10" s="31">
        <v>7.4805000000000001</v>
      </c>
    </row>
    <row r="11" spans="1:7" x14ac:dyDescent="0.2">
      <c r="A11" s="27"/>
      <c r="B11" s="29"/>
      <c r="C11" s="30"/>
      <c r="D11" s="26"/>
    </row>
    <row r="12" spans="1:7" x14ac:dyDescent="0.2">
      <c r="A12" s="101" t="s">
        <v>112</v>
      </c>
      <c r="B12" s="105" t="s">
        <v>113</v>
      </c>
      <c r="C12" s="107">
        <v>8.8999999999999996E-2</v>
      </c>
      <c r="D12" s="26"/>
      <c r="E12" s="23" t="s">
        <v>103</v>
      </c>
      <c r="F12" s="24" t="s">
        <v>90</v>
      </c>
      <c r="G12" s="32">
        <v>4.0000000000000002E-4</v>
      </c>
    </row>
    <row r="13" spans="1:7" x14ac:dyDescent="0.2">
      <c r="A13" s="101" t="s">
        <v>114</v>
      </c>
      <c r="B13" s="105" t="s">
        <v>115</v>
      </c>
      <c r="C13" s="103">
        <v>20</v>
      </c>
      <c r="D13" s="26"/>
      <c r="E13" s="23"/>
      <c r="F13" s="24"/>
      <c r="G13" s="32"/>
    </row>
    <row r="14" spans="1:7" x14ac:dyDescent="0.2">
      <c r="A14" s="101" t="s">
        <v>114</v>
      </c>
      <c r="B14" s="105" t="s">
        <v>113</v>
      </c>
      <c r="C14" s="106">
        <f>(C13/10^6)*8710*(20.9/(20.9-3))*(46.01/385)</f>
        <v>2.4307086671987232E-2</v>
      </c>
      <c r="D14" s="26"/>
      <c r="E14" s="23"/>
      <c r="F14" s="24"/>
      <c r="G14" s="32"/>
    </row>
    <row r="15" spans="1:7" x14ac:dyDescent="0.2">
      <c r="A15" s="27"/>
      <c r="B15" s="29"/>
      <c r="C15" s="30"/>
      <c r="D15" s="26"/>
      <c r="E15" s="23"/>
      <c r="F15" s="24"/>
      <c r="G15" s="32"/>
    </row>
    <row r="16" spans="1:7" x14ac:dyDescent="0.2">
      <c r="A16" s="27"/>
      <c r="B16" s="29"/>
      <c r="C16" s="30"/>
      <c r="D16" s="26"/>
      <c r="E16" s="23"/>
      <c r="F16" s="24"/>
      <c r="G16" s="32"/>
    </row>
    <row r="17" spans="1:7" ht="13.5" thickBot="1" x14ac:dyDescent="0.25">
      <c r="A17" s="108" t="s">
        <v>116</v>
      </c>
      <c r="B17" s="109"/>
      <c r="C17" s="110" t="s">
        <v>13</v>
      </c>
      <c r="D17" s="109" t="s">
        <v>42</v>
      </c>
      <c r="E17" s="111"/>
      <c r="F17" s="24"/>
      <c r="G17" s="32"/>
    </row>
    <row r="18" spans="1:7" x14ac:dyDescent="0.2">
      <c r="A18" s="33" t="s">
        <v>74</v>
      </c>
      <c r="B18" s="29"/>
      <c r="C18" s="34">
        <f>(950*C3*(2375/C3)^0.577)*(0.66+0.85*C4)</f>
        <v>581788.58297614986</v>
      </c>
      <c r="D18" s="29" t="s">
        <v>1</v>
      </c>
    </row>
    <row r="19" spans="1:7" x14ac:dyDescent="0.2">
      <c r="A19" s="27"/>
      <c r="B19" s="29"/>
      <c r="C19" s="35"/>
      <c r="D19" s="26"/>
    </row>
    <row r="20" spans="1:7" ht="13.5" thickBot="1" x14ac:dyDescent="0.25">
      <c r="A20" s="108" t="s">
        <v>75</v>
      </c>
      <c r="B20" s="118"/>
      <c r="C20" s="119"/>
      <c r="D20" s="120"/>
      <c r="E20" s="121"/>
    </row>
    <row r="21" spans="1:7" x14ac:dyDescent="0.2">
      <c r="A21" s="36" t="s">
        <v>55</v>
      </c>
      <c r="B21" s="29"/>
      <c r="C21" s="37">
        <f>C18*0.05</f>
        <v>29089.429148807496</v>
      </c>
      <c r="D21" s="24" t="s">
        <v>2</v>
      </c>
    </row>
    <row r="22" spans="1:7" x14ac:dyDescent="0.2">
      <c r="A22" s="36" t="s">
        <v>56</v>
      </c>
      <c r="B22" s="29"/>
      <c r="C22" s="37">
        <f>C18*0.1</f>
        <v>58178.858297614992</v>
      </c>
      <c r="D22" s="24" t="s">
        <v>57</v>
      </c>
    </row>
    <row r="23" spans="1:7" x14ac:dyDescent="0.2">
      <c r="A23" s="36" t="s">
        <v>58</v>
      </c>
      <c r="B23" s="29"/>
      <c r="C23" s="37">
        <f>C18*0.05</f>
        <v>29089.429148807496</v>
      </c>
      <c r="D23" s="24" t="s">
        <v>2</v>
      </c>
    </row>
    <row r="24" spans="1:7" x14ac:dyDescent="0.2">
      <c r="A24" s="967" t="s">
        <v>76</v>
      </c>
      <c r="B24" s="967"/>
      <c r="C24" s="34">
        <f>SUM(C21:C23)</f>
        <v>116357.71659522998</v>
      </c>
      <c r="D24" s="29" t="s">
        <v>79</v>
      </c>
    </row>
    <row r="25" spans="1:7" x14ac:dyDescent="0.2">
      <c r="A25" s="27"/>
      <c r="B25" s="29"/>
      <c r="C25" s="35"/>
      <c r="D25" s="26"/>
    </row>
    <row r="26" spans="1:7" x14ac:dyDescent="0.2">
      <c r="A26" s="27" t="s">
        <v>77</v>
      </c>
      <c r="B26" s="29"/>
      <c r="C26" s="35">
        <f>0.15*(C18+C24)</f>
        <v>104721.94493570697</v>
      </c>
      <c r="D26" s="29" t="s">
        <v>78</v>
      </c>
    </row>
    <row r="27" spans="1:7" x14ac:dyDescent="0.2">
      <c r="A27" s="27" t="s">
        <v>80</v>
      </c>
      <c r="B27" s="29"/>
      <c r="C27" s="35">
        <f>C18+C24+C26</f>
        <v>802868.2445070867</v>
      </c>
      <c r="D27" s="29" t="s">
        <v>81</v>
      </c>
    </row>
    <row r="28" spans="1:7" x14ac:dyDescent="0.2">
      <c r="A28" s="27" t="s">
        <v>82</v>
      </c>
      <c r="B28" s="29"/>
      <c r="C28" s="35">
        <v>0</v>
      </c>
      <c r="D28" s="29" t="s">
        <v>83</v>
      </c>
    </row>
    <row r="29" spans="1:7" x14ac:dyDescent="0.2">
      <c r="A29" s="27" t="s">
        <v>84</v>
      </c>
      <c r="B29" s="29"/>
      <c r="C29" s="35">
        <v>0</v>
      </c>
      <c r="D29" s="29" t="s">
        <v>85</v>
      </c>
    </row>
    <row r="30" spans="1:7" x14ac:dyDescent="0.2">
      <c r="A30" s="27" t="s">
        <v>86</v>
      </c>
      <c r="B30" s="29"/>
      <c r="C30" s="133">
        <f>0.02*(C27+C28)</f>
        <v>16057.364890141735</v>
      </c>
      <c r="D30" s="29" t="s">
        <v>87</v>
      </c>
    </row>
    <row r="31" spans="1:7" x14ac:dyDescent="0.2">
      <c r="A31" s="27" t="s">
        <v>88</v>
      </c>
      <c r="B31" s="29"/>
      <c r="C31" s="35">
        <f>$G$7*C10</f>
        <v>983.97770251454244</v>
      </c>
      <c r="D31" s="29" t="s">
        <v>91</v>
      </c>
      <c r="F31" s="24" t="s">
        <v>92</v>
      </c>
    </row>
    <row r="32" spans="1:7" x14ac:dyDescent="0.2">
      <c r="A32" s="27" t="s">
        <v>93</v>
      </c>
      <c r="B32" s="29"/>
      <c r="C32" s="35">
        <v>0</v>
      </c>
      <c r="D32" s="29" t="s">
        <v>94</v>
      </c>
      <c r="F32" s="24"/>
    </row>
    <row r="33" spans="1:5" x14ac:dyDescent="0.2">
      <c r="A33" s="38" t="s">
        <v>43</v>
      </c>
      <c r="B33" s="39"/>
      <c r="C33" s="40">
        <f>C27+C28+C29+C30+C31+C32</f>
        <v>819909.58709974296</v>
      </c>
      <c r="D33" s="41" t="s">
        <v>95</v>
      </c>
      <c r="E33" s="42"/>
    </row>
    <row r="34" spans="1:5" x14ac:dyDescent="0.2">
      <c r="A34" s="27"/>
      <c r="B34" s="29"/>
      <c r="C34" s="35"/>
      <c r="D34" s="26"/>
    </row>
    <row r="35" spans="1:5" x14ac:dyDescent="0.2">
      <c r="A35" s="27"/>
      <c r="B35" s="29"/>
      <c r="C35" s="35"/>
      <c r="D35" s="26"/>
    </row>
    <row r="36" spans="1:5" ht="13.5" thickBot="1" x14ac:dyDescent="0.25">
      <c r="A36" s="108" t="s">
        <v>96</v>
      </c>
      <c r="B36" s="118"/>
      <c r="C36" s="119"/>
      <c r="D36" s="120"/>
      <c r="E36" s="121"/>
    </row>
    <row r="37" spans="1:5" x14ac:dyDescent="0.2">
      <c r="A37" s="27" t="s">
        <v>97</v>
      </c>
      <c r="B37" s="29"/>
      <c r="C37" s="35">
        <f>C33*0.015</f>
        <v>12298.643806496144</v>
      </c>
      <c r="D37" s="29" t="s">
        <v>98</v>
      </c>
    </row>
    <row r="38" spans="1:5" x14ac:dyDescent="0.2">
      <c r="A38" s="27" t="s">
        <v>99</v>
      </c>
      <c r="B38" s="29"/>
      <c r="C38" s="35">
        <f>G7*C9*8760</f>
        <v>25653.704386986286</v>
      </c>
      <c r="D38" s="26"/>
    </row>
    <row r="39" spans="1:5" x14ac:dyDescent="0.2">
      <c r="A39" s="27" t="s">
        <v>9</v>
      </c>
      <c r="B39" s="29"/>
      <c r="C39" s="35"/>
      <c r="D39" s="26"/>
    </row>
    <row r="40" spans="1:5" x14ac:dyDescent="0.2">
      <c r="A40" s="36" t="s">
        <v>0</v>
      </c>
      <c r="B40" s="29"/>
      <c r="C40" s="35">
        <f>((0.47*C12*C5*C3)/9.5)*0.1088*8760</f>
        <v>1625.0331787161269</v>
      </c>
      <c r="D40" s="26"/>
    </row>
    <row r="41" spans="1:5" x14ac:dyDescent="0.2">
      <c r="A41" s="27" t="s">
        <v>100</v>
      </c>
      <c r="B41" s="29"/>
      <c r="C41" s="35">
        <f>(C8/8.345)*((G3/G4)-1)*8760*G12</f>
        <v>54.922781484690077</v>
      </c>
      <c r="D41" s="26"/>
    </row>
    <row r="42" spans="1:5" x14ac:dyDescent="0.2">
      <c r="A42" s="27" t="s">
        <v>3</v>
      </c>
      <c r="B42" s="29"/>
      <c r="C42" s="35">
        <f>C61</f>
        <v>6640.0425000000005</v>
      </c>
      <c r="D42" s="26"/>
    </row>
    <row r="43" spans="1:5" x14ac:dyDescent="0.2">
      <c r="A43" s="38" t="s">
        <v>104</v>
      </c>
      <c r="B43" s="39"/>
      <c r="C43" s="40">
        <f>SUM(C37:C42)</f>
        <v>46272.346653683249</v>
      </c>
      <c r="D43" s="115"/>
      <c r="E43" s="42"/>
    </row>
    <row r="44" spans="1:5" x14ac:dyDescent="0.2">
      <c r="A44" s="27"/>
      <c r="B44" s="29"/>
      <c r="C44" s="35"/>
      <c r="D44" s="26"/>
    </row>
    <row r="45" spans="1:5" x14ac:dyDescent="0.2">
      <c r="A45" s="27" t="s">
        <v>122</v>
      </c>
      <c r="B45" s="29"/>
      <c r="C45" s="43">
        <f>D78</f>
        <v>0.14237750272736471</v>
      </c>
      <c r="D45" s="26"/>
    </row>
    <row r="46" spans="1:5" x14ac:dyDescent="0.2">
      <c r="A46" s="38" t="s">
        <v>106</v>
      </c>
      <c r="B46" s="39"/>
      <c r="C46" s="40">
        <f>C45*C33</f>
        <v>116736.67947348613</v>
      </c>
      <c r="D46" s="116" t="s">
        <v>107</v>
      </c>
      <c r="E46" s="42"/>
    </row>
    <row r="47" spans="1:5" x14ac:dyDescent="0.2">
      <c r="A47" s="27"/>
      <c r="B47" s="29"/>
      <c r="C47" s="35"/>
      <c r="D47" s="26"/>
    </row>
    <row r="48" spans="1:5" x14ac:dyDescent="0.2">
      <c r="A48" s="38" t="s">
        <v>108</v>
      </c>
      <c r="B48" s="39"/>
      <c r="C48" s="44">
        <f>C46+C43</f>
        <v>163009.02612716937</v>
      </c>
      <c r="D48" s="117" t="s">
        <v>109</v>
      </c>
      <c r="E48" s="42"/>
    </row>
    <row r="49" spans="1:7" x14ac:dyDescent="0.2">
      <c r="A49" s="27"/>
      <c r="B49" s="29"/>
      <c r="C49" s="35"/>
      <c r="D49" s="26"/>
    </row>
    <row r="50" spans="1:7" x14ac:dyDescent="0.2">
      <c r="A50" s="24" t="s">
        <v>117</v>
      </c>
      <c r="B50" s="24" t="s">
        <v>118</v>
      </c>
      <c r="C50" s="25">
        <f>C12*C3*8760/2000</f>
        <v>21.050279999999997</v>
      </c>
      <c r="D50" s="24"/>
    </row>
    <row r="51" spans="1:7" x14ac:dyDescent="0.2">
      <c r="A51" s="27" t="s">
        <v>111</v>
      </c>
      <c r="B51" s="24" t="s">
        <v>118</v>
      </c>
      <c r="C51" s="30">
        <f>(C12*C4*C3*8760)/2000</f>
        <v>15.301167860341579</v>
      </c>
      <c r="D51" s="29"/>
    </row>
    <row r="52" spans="1:7" ht="13.5" thickBot="1" x14ac:dyDescent="0.25">
      <c r="A52" s="45"/>
      <c r="B52" s="26"/>
      <c r="C52" s="35"/>
      <c r="D52" s="26"/>
    </row>
    <row r="53" spans="1:7" ht="13.5" thickBot="1" x14ac:dyDescent="0.25">
      <c r="A53" s="112" t="s">
        <v>119</v>
      </c>
      <c r="B53" s="113" t="s">
        <v>120</v>
      </c>
      <c r="C53" s="114">
        <f>C48/C51</f>
        <v>10653.371534447724</v>
      </c>
      <c r="D53" s="26"/>
    </row>
    <row r="54" spans="1:7" x14ac:dyDescent="0.2">
      <c r="A54" s="3"/>
      <c r="B54" s="143"/>
      <c r="C54" s="140"/>
      <c r="D54" s="26"/>
    </row>
    <row r="55" spans="1:7" ht="13.5" thickBot="1" x14ac:dyDescent="0.25">
      <c r="A55" s="4" t="s">
        <v>41</v>
      </c>
      <c r="B55" s="144" t="s">
        <v>120</v>
      </c>
      <c r="C55" s="141">
        <v>25702</v>
      </c>
      <c r="D55" s="26"/>
    </row>
    <row r="56" spans="1:7" x14ac:dyDescent="0.2">
      <c r="A56" s="45"/>
      <c r="B56" s="26"/>
      <c r="C56" s="35"/>
      <c r="D56" s="26"/>
    </row>
    <row r="57" spans="1:7" x14ac:dyDescent="0.2">
      <c r="A57" s="45"/>
      <c r="B57" s="26"/>
      <c r="C57" s="35"/>
      <c r="D57" s="26"/>
    </row>
    <row r="58" spans="1:7" x14ac:dyDescent="0.2">
      <c r="A58" s="33" t="s">
        <v>143</v>
      </c>
      <c r="B58" s="26"/>
      <c r="C58" s="35"/>
      <c r="D58" s="26"/>
      <c r="F58" s="155" t="s">
        <v>146</v>
      </c>
    </row>
    <row r="59" spans="1:7" x14ac:dyDescent="0.2">
      <c r="A59" s="27" t="s">
        <v>4</v>
      </c>
      <c r="B59" s="26"/>
      <c r="C59" s="35">
        <f>(0.5*7)*F60*52</f>
        <v>5773.9500000000007</v>
      </c>
      <c r="D59" s="29" t="s">
        <v>6</v>
      </c>
      <c r="F59" s="154">
        <v>1269</v>
      </c>
      <c r="G59" s="153" t="s">
        <v>144</v>
      </c>
    </row>
    <row r="60" spans="1:7" x14ac:dyDescent="0.2">
      <c r="A60" s="27" t="s">
        <v>5</v>
      </c>
      <c r="B60" s="26"/>
      <c r="C60" s="35">
        <f>C59*0.15</f>
        <v>866.09250000000009</v>
      </c>
      <c r="D60" s="29" t="s">
        <v>7</v>
      </c>
      <c r="F60" s="154">
        <f>F59/40</f>
        <v>31.725000000000001</v>
      </c>
      <c r="G60" s="153" t="s">
        <v>145</v>
      </c>
    </row>
    <row r="61" spans="1:7" x14ac:dyDescent="0.2">
      <c r="A61" s="45"/>
      <c r="B61" s="26"/>
      <c r="C61" s="40">
        <f>SUM(C59:C60)</f>
        <v>6640.0425000000005</v>
      </c>
      <c r="D61" s="41"/>
    </row>
    <row r="62" spans="1:7" x14ac:dyDescent="0.2">
      <c r="A62" s="45"/>
      <c r="B62" s="26"/>
      <c r="C62" s="35"/>
      <c r="D62" s="26"/>
    </row>
    <row r="63" spans="1:7" x14ac:dyDescent="0.2">
      <c r="A63" s="45"/>
      <c r="B63" s="26"/>
      <c r="C63" s="35"/>
      <c r="D63" s="26"/>
    </row>
    <row r="64" spans="1:7" x14ac:dyDescent="0.2">
      <c r="A64" s="45"/>
      <c r="B64" s="26"/>
      <c r="C64" s="35"/>
      <c r="D64" s="26"/>
    </row>
    <row r="65" spans="1:5" x14ac:dyDescent="0.2">
      <c r="A65" s="27" t="s">
        <v>110</v>
      </c>
      <c r="B65" s="26"/>
      <c r="C65" s="35"/>
      <c r="D65" s="26"/>
    </row>
    <row r="66" spans="1:5" ht="13.5" thickBot="1" x14ac:dyDescent="0.25">
      <c r="A66" s="45"/>
      <c r="B66" s="26"/>
      <c r="C66" s="26"/>
      <c r="D66" s="26"/>
    </row>
    <row r="67" spans="1:5" ht="39" customHeight="1" thickBot="1" x14ac:dyDescent="0.25">
      <c r="A67" s="46"/>
      <c r="B67" s="47" t="s">
        <v>26</v>
      </c>
      <c r="C67" s="48" t="s">
        <v>29</v>
      </c>
      <c r="D67" s="963" t="s">
        <v>30</v>
      </c>
      <c r="E67" s="964"/>
    </row>
    <row r="68" spans="1:5" x14ac:dyDescent="0.2">
      <c r="A68" s="49" t="s">
        <v>15</v>
      </c>
      <c r="B68" s="9"/>
      <c r="C68" s="50">
        <f>C33</f>
        <v>819909.58709974296</v>
      </c>
      <c r="D68" s="51"/>
      <c r="E68" s="52"/>
    </row>
    <row r="69" spans="1:5" x14ac:dyDescent="0.2">
      <c r="A69" s="49" t="s">
        <v>16</v>
      </c>
      <c r="B69" s="53">
        <f>1/(1+7%)^E69</f>
        <v>0.93457943925233644</v>
      </c>
      <c r="C69" s="50">
        <f>C68*B69</f>
        <v>766270.64214929251</v>
      </c>
      <c r="D69" s="54">
        <f>7%/(1-(1+7%)^-E69)</f>
        <v>1.07</v>
      </c>
      <c r="E69" s="52">
        <v>1</v>
      </c>
    </row>
    <row r="70" spans="1:5" x14ac:dyDescent="0.2">
      <c r="A70" s="49" t="s">
        <v>17</v>
      </c>
      <c r="B70" s="53">
        <f>1/(1+7%)^E70</f>
        <v>0.87343872827321156</v>
      </c>
      <c r="C70" s="50">
        <f t="shared" ref="C70:C78" si="0">C69*B70</f>
        <v>669290.45519197523</v>
      </c>
      <c r="D70" s="54">
        <f t="shared" ref="D70:D78" si="1">7%/(1-(1+7%)^-E70)</f>
        <v>0.55309178743961329</v>
      </c>
      <c r="E70" s="52">
        <v>2</v>
      </c>
    </row>
    <row r="71" spans="1:5" x14ac:dyDescent="0.2">
      <c r="A71" s="49" t="s">
        <v>18</v>
      </c>
      <c r="B71" s="53">
        <f>1/(1+7%)^E71</f>
        <v>0.81629787689085187</v>
      </c>
      <c r="C71" s="50">
        <f t="shared" si="0"/>
        <v>546340.37759652117</v>
      </c>
      <c r="D71" s="54">
        <f t="shared" si="1"/>
        <v>0.38105166568166948</v>
      </c>
      <c r="E71" s="52">
        <v>3</v>
      </c>
    </row>
    <row r="72" spans="1:5" x14ac:dyDescent="0.2">
      <c r="A72" s="49" t="s">
        <v>19</v>
      </c>
      <c r="B72" s="53">
        <f t="shared" ref="B72:B78" si="2">1/(1+7%)^E72</f>
        <v>0.7628952120475252</v>
      </c>
      <c r="C72" s="50">
        <f t="shared" si="0"/>
        <v>416800.458216623</v>
      </c>
      <c r="D72" s="54">
        <f t="shared" si="1"/>
        <v>0.29522811666726351</v>
      </c>
      <c r="E72" s="52">
        <v>4</v>
      </c>
    </row>
    <row r="73" spans="1:5" x14ac:dyDescent="0.2">
      <c r="A73" s="49" t="s">
        <v>20</v>
      </c>
      <c r="B73" s="53">
        <f t="shared" si="2"/>
        <v>0.71298617948366838</v>
      </c>
      <c r="C73" s="50">
        <f t="shared" si="0"/>
        <v>297172.96631091239</v>
      </c>
      <c r="D73" s="54">
        <f t="shared" si="1"/>
        <v>0.24389069444137404</v>
      </c>
      <c r="E73" s="52">
        <v>5</v>
      </c>
    </row>
    <row r="74" spans="1:5" x14ac:dyDescent="0.2">
      <c r="A74" s="49" t="s">
        <v>21</v>
      </c>
      <c r="B74" s="53">
        <f t="shared" si="2"/>
        <v>0.66634222381651254</v>
      </c>
      <c r="C74" s="50">
        <f t="shared" si="0"/>
        <v>198018.89522976291</v>
      </c>
      <c r="D74" s="54">
        <f t="shared" si="1"/>
        <v>0.20979579975832816</v>
      </c>
      <c r="E74" s="52">
        <v>6</v>
      </c>
    </row>
    <row r="75" spans="1:5" x14ac:dyDescent="0.2">
      <c r="A75" s="49" t="s">
        <v>22</v>
      </c>
      <c r="B75" s="53">
        <f t="shared" si="2"/>
        <v>0.62274974188459109</v>
      </c>
      <c r="C75" s="50">
        <f t="shared" si="0"/>
        <v>123316.21589260673</v>
      </c>
      <c r="D75" s="54">
        <f t="shared" si="1"/>
        <v>0.18555321963115931</v>
      </c>
      <c r="E75" s="52">
        <v>7</v>
      </c>
    </row>
    <row r="76" spans="1:5" x14ac:dyDescent="0.2">
      <c r="A76" s="49" t="s">
        <v>23</v>
      </c>
      <c r="B76" s="53">
        <f t="shared" si="2"/>
        <v>0.5820091045650384</v>
      </c>
      <c r="C76" s="50">
        <f t="shared" si="0"/>
        <v>71771.16039000501</v>
      </c>
      <c r="D76" s="54">
        <f t="shared" si="1"/>
        <v>0.16746776249075465</v>
      </c>
      <c r="E76" s="52">
        <v>8</v>
      </c>
    </row>
    <row r="77" spans="1:5" x14ac:dyDescent="0.2">
      <c r="A77" s="49" t="s">
        <v>24</v>
      </c>
      <c r="B77" s="53">
        <f t="shared" si="2"/>
        <v>0.54393374258414806</v>
      </c>
      <c r="C77" s="50">
        <f t="shared" si="0"/>
        <v>39038.755880542587</v>
      </c>
      <c r="D77" s="54">
        <f t="shared" si="1"/>
        <v>0.15348647013842193</v>
      </c>
      <c r="E77" s="52">
        <v>9</v>
      </c>
    </row>
    <row r="78" spans="1:5" ht="13.5" customHeight="1" thickBot="1" x14ac:dyDescent="0.25">
      <c r="A78" s="55" t="s">
        <v>25</v>
      </c>
      <c r="B78" s="56">
        <f t="shared" si="2"/>
        <v>0.5083492921347178</v>
      </c>
      <c r="C78" s="57">
        <f t="shared" si="0"/>
        <v>19845.323917693877</v>
      </c>
      <c r="D78" s="58">
        <f t="shared" si="1"/>
        <v>0.14237750272736471</v>
      </c>
      <c r="E78" s="59">
        <v>10</v>
      </c>
    </row>
    <row r="79" spans="1:5" ht="13.5" customHeight="1" thickBot="1" x14ac:dyDescent="0.25">
      <c r="A79" s="9"/>
      <c r="B79" s="53"/>
      <c r="C79" s="60"/>
      <c r="D79" s="61"/>
      <c r="E79" s="9"/>
    </row>
    <row r="80" spans="1:5" x14ac:dyDescent="0.2">
      <c r="A80" s="62" t="s">
        <v>27</v>
      </c>
      <c r="B80" s="63"/>
      <c r="C80" s="64">
        <f>SUM(C68:C78)</f>
        <v>3967774.8378756782</v>
      </c>
      <c r="D80" s="60"/>
      <c r="E80" s="60"/>
    </row>
    <row r="81" spans="1:7" x14ac:dyDescent="0.2">
      <c r="A81" s="65"/>
      <c r="B81" s="66"/>
      <c r="C81" s="67"/>
      <c r="D81" s="9"/>
      <c r="E81" s="9"/>
    </row>
    <row r="82" spans="1:7" ht="13.5" thickBot="1" x14ac:dyDescent="0.25">
      <c r="A82" s="68" t="s">
        <v>28</v>
      </c>
      <c r="B82" s="69"/>
      <c r="C82" s="70">
        <f>C80*$D$78</f>
        <v>564921.87280121341</v>
      </c>
      <c r="D82" s="60"/>
      <c r="E82" s="60"/>
    </row>
    <row r="83" spans="1:7" x14ac:dyDescent="0.2">
      <c r="B83" s="21"/>
      <c r="C83" s="21"/>
      <c r="D83" s="21"/>
      <c r="E83" s="21"/>
      <c r="G83" s="21"/>
    </row>
    <row r="84" spans="1:7" x14ac:dyDescent="0.2">
      <c r="E84" s="37"/>
    </row>
    <row r="85" spans="1:7" x14ac:dyDescent="0.2">
      <c r="B85" s="21"/>
      <c r="C85" s="21"/>
      <c r="D85" s="21"/>
      <c r="E85" s="21"/>
      <c r="G85" s="21"/>
    </row>
    <row r="86" spans="1:7" ht="13.5" thickBot="1" x14ac:dyDescent="0.25">
      <c r="A86" s="966" t="s">
        <v>14</v>
      </c>
      <c r="B86" s="966"/>
      <c r="C86" s="966"/>
      <c r="D86" s="966"/>
      <c r="E86" s="966"/>
      <c r="F86" s="966"/>
      <c r="G86" s="21"/>
    </row>
    <row r="87" spans="1:7" x14ac:dyDescent="0.2">
      <c r="A87" s="965" t="s">
        <v>147</v>
      </c>
      <c r="B87" s="965"/>
      <c r="C87" s="965"/>
      <c r="D87" s="965"/>
      <c r="E87" s="965"/>
      <c r="F87" s="965"/>
      <c r="G87" s="21"/>
    </row>
    <row r="88" spans="1:7" ht="57" customHeight="1" x14ac:dyDescent="0.2">
      <c r="A88" s="968" t="s">
        <v>148</v>
      </c>
      <c r="B88" s="968"/>
      <c r="C88" s="968"/>
      <c r="D88" s="968"/>
      <c r="E88" s="968"/>
      <c r="F88" s="968"/>
      <c r="G88" s="21"/>
    </row>
    <row r="89" spans="1:7" x14ac:dyDescent="0.2">
      <c r="A89" s="73" t="s">
        <v>51</v>
      </c>
      <c r="B89" s="6"/>
      <c r="C89" s="6"/>
      <c r="D89" s="6"/>
      <c r="E89" s="74"/>
      <c r="G89" s="21"/>
    </row>
    <row r="90" spans="1:7" x14ac:dyDescent="0.2">
      <c r="A90" s="75" t="s">
        <v>32</v>
      </c>
      <c r="B90" s="6"/>
      <c r="C90" s="6"/>
      <c r="D90" s="6"/>
      <c r="E90" s="74"/>
      <c r="G90" s="21"/>
    </row>
    <row r="91" spans="1:7" x14ac:dyDescent="0.2">
      <c r="A91" s="73" t="s">
        <v>49</v>
      </c>
      <c r="B91" s="6"/>
      <c r="C91" s="6"/>
      <c r="D91" s="6"/>
      <c r="E91" s="74"/>
    </row>
    <row r="92" spans="1:7" x14ac:dyDescent="0.2">
      <c r="A92" s="75" t="s">
        <v>33</v>
      </c>
      <c r="B92" s="6"/>
      <c r="C92" s="6"/>
      <c r="D92" s="6"/>
      <c r="E92" s="74"/>
    </row>
    <row r="93" spans="1:7" x14ac:dyDescent="0.2">
      <c r="A93" s="961" t="s">
        <v>121</v>
      </c>
      <c r="B93" s="962"/>
      <c r="C93" s="962"/>
      <c r="D93" s="962"/>
      <c r="E93" s="962"/>
    </row>
    <row r="94" spans="1:7" x14ac:dyDescent="0.2">
      <c r="A94" s="962"/>
      <c r="B94" s="962"/>
      <c r="C94" s="962"/>
      <c r="D94" s="962"/>
      <c r="E94" s="962"/>
    </row>
    <row r="95" spans="1:7" x14ac:dyDescent="0.2">
      <c r="A95" s="962"/>
      <c r="B95" s="962"/>
      <c r="C95" s="962"/>
      <c r="D95" s="962"/>
      <c r="E95" s="962"/>
    </row>
    <row r="96" spans="1:7" x14ac:dyDescent="0.2">
      <c r="A96" s="11"/>
      <c r="B96" s="77"/>
      <c r="C96" s="77"/>
      <c r="D96" s="77"/>
      <c r="E96" s="78"/>
    </row>
    <row r="97" spans="1:5" x14ac:dyDescent="0.2">
      <c r="A97" s="11"/>
      <c r="B97" s="79" t="s">
        <v>47</v>
      </c>
      <c r="C97" s="79">
        <v>7.38</v>
      </c>
      <c r="D97" s="11"/>
      <c r="E97" s="20"/>
    </row>
    <row r="98" spans="1:5" x14ac:dyDescent="0.2">
      <c r="A98" s="6"/>
      <c r="B98" s="79" t="s">
        <v>48</v>
      </c>
      <c r="C98" s="79">
        <v>7.2</v>
      </c>
      <c r="D98" s="6"/>
      <c r="E98" s="74"/>
    </row>
    <row r="99" spans="1:5" x14ac:dyDescent="0.2">
      <c r="A99" s="6"/>
      <c r="B99" s="79" t="s">
        <v>34</v>
      </c>
      <c r="C99" s="80">
        <v>7.39</v>
      </c>
      <c r="D99" s="18"/>
      <c r="E99" s="19"/>
    </row>
    <row r="100" spans="1:5" x14ac:dyDescent="0.2">
      <c r="A100" s="6"/>
      <c r="B100" s="79" t="s">
        <v>35</v>
      </c>
      <c r="C100" s="80">
        <v>7.01</v>
      </c>
      <c r="D100" s="18"/>
      <c r="E100" s="20"/>
    </row>
    <row r="101" spans="1:5" x14ac:dyDescent="0.2">
      <c r="A101" s="6"/>
      <c r="B101" s="79" t="s">
        <v>36</v>
      </c>
      <c r="C101" s="80">
        <v>6.95</v>
      </c>
      <c r="D101" s="18"/>
      <c r="E101" s="20"/>
    </row>
    <row r="102" spans="1:5" x14ac:dyDescent="0.2">
      <c r="A102" s="6"/>
      <c r="B102" s="79" t="s">
        <v>37</v>
      </c>
      <c r="C102" s="80">
        <v>7.3</v>
      </c>
      <c r="D102" s="18"/>
      <c r="E102" s="20"/>
    </row>
    <row r="103" spans="1:5" x14ac:dyDescent="0.2">
      <c r="A103" s="6"/>
      <c r="B103" s="79" t="s">
        <v>38</v>
      </c>
      <c r="C103" s="80">
        <v>7.22</v>
      </c>
      <c r="D103" s="11"/>
      <c r="E103" s="20"/>
    </row>
    <row r="104" spans="1:5" x14ac:dyDescent="0.2">
      <c r="A104" s="6"/>
      <c r="B104" s="79" t="s">
        <v>39</v>
      </c>
      <c r="C104" s="80">
        <v>7.37</v>
      </c>
      <c r="D104" s="11"/>
      <c r="E104" s="20"/>
    </row>
    <row r="105" spans="1:5" x14ac:dyDescent="0.2">
      <c r="A105" s="6"/>
      <c r="B105" s="79" t="s">
        <v>44</v>
      </c>
      <c r="C105" s="80">
        <v>6.83</v>
      </c>
      <c r="D105" s="11"/>
      <c r="E105" s="20"/>
    </row>
    <row r="106" spans="1:5" x14ac:dyDescent="0.2">
      <c r="A106" s="6"/>
      <c r="B106" s="79" t="s">
        <v>45</v>
      </c>
      <c r="C106" s="80"/>
      <c r="D106" s="11"/>
      <c r="E106" s="20"/>
    </row>
    <row r="107" spans="1:5" x14ac:dyDescent="0.2">
      <c r="A107" s="6"/>
      <c r="B107" s="79" t="s">
        <v>46</v>
      </c>
      <c r="C107" s="80"/>
      <c r="D107" s="11"/>
      <c r="E107" s="20"/>
    </row>
    <row r="108" spans="1:5" x14ac:dyDescent="0.2">
      <c r="A108" s="6"/>
      <c r="B108" s="79" t="s">
        <v>50</v>
      </c>
      <c r="C108" s="81"/>
      <c r="D108" s="11"/>
      <c r="E108" s="20"/>
    </row>
    <row r="109" spans="1:5" x14ac:dyDescent="0.2">
      <c r="A109" s="6"/>
      <c r="B109" s="82" t="s">
        <v>40</v>
      </c>
      <c r="C109" s="83">
        <f>AVERAGE(C97:C105)</f>
        <v>7.1833333333333327</v>
      </c>
      <c r="D109" s="84"/>
      <c r="E109" s="74"/>
    </row>
    <row r="110" spans="1:5" x14ac:dyDescent="0.2">
      <c r="A110" s="6"/>
      <c r="B110" s="6"/>
      <c r="C110" s="6"/>
      <c r="D110" s="6"/>
      <c r="E110" s="74"/>
    </row>
    <row r="111" spans="1:5" x14ac:dyDescent="0.2">
      <c r="A111" s="6"/>
      <c r="B111" s="6"/>
      <c r="C111" s="6"/>
      <c r="D111" s="6"/>
      <c r="E111" s="74"/>
    </row>
  </sheetData>
  <mergeCells count="6">
    <mergeCell ref="A93:E95"/>
    <mergeCell ref="D67:E67"/>
    <mergeCell ref="A87:F87"/>
    <mergeCell ref="A86:F86"/>
    <mergeCell ref="A24:B24"/>
    <mergeCell ref="A88:F88"/>
  </mergeCells>
  <phoneticPr fontId="15" type="noConversion"/>
  <hyperlinks>
    <hyperlink ref="A92" r:id="rId1" xr:uid="{00000000-0004-0000-0000-000000000000}"/>
    <hyperlink ref="A90" r:id="rId2" xr:uid="{00000000-0004-0000-0000-000001000000}"/>
  </hyperlinks>
  <pageMargins left="0.75" right="0.75" top="1" bottom="1" header="0.5" footer="0.5"/>
  <pageSetup scale="62" orientation="portrait" horizontalDpi="300" verticalDpi="300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rgb="FF00B050"/>
  </sheetPr>
  <dimension ref="A1"/>
  <sheetViews>
    <sheetView workbookViewId="0">
      <selection activeCell="K35" sqref="K35"/>
    </sheetView>
  </sheetViews>
  <sheetFormatPr defaultRowHeight="12.75" x14ac:dyDescent="0.2"/>
  <sheetData/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/>
  <dimension ref="C5:K44"/>
  <sheetViews>
    <sheetView view="pageLayout" zoomScaleNormal="100" workbookViewId="0">
      <selection activeCell="B3" sqref="B3"/>
    </sheetView>
  </sheetViews>
  <sheetFormatPr defaultColWidth="9.140625" defaultRowHeight="12.75" x14ac:dyDescent="0.2"/>
  <cols>
    <col min="1" max="2" width="9.140625" style="21"/>
    <col min="3" max="3" width="22.85546875" style="21" customWidth="1"/>
    <col min="4" max="6" width="9.140625" style="21"/>
    <col min="7" max="7" width="12.85546875" style="21" customWidth="1"/>
    <col min="8" max="9" width="9.140625" style="21"/>
    <col min="10" max="10" width="27.5703125" style="21" customWidth="1"/>
    <col min="11" max="13" width="14" style="21" bestFit="1" customWidth="1"/>
    <col min="14" max="16384" width="9.140625" style="21"/>
  </cols>
  <sheetData>
    <row r="5" spans="3:10" x14ac:dyDescent="0.2">
      <c r="C5" s="155" t="s">
        <v>398</v>
      </c>
    </row>
    <row r="6" spans="3:10" x14ac:dyDescent="0.2">
      <c r="C6" s="79" t="s">
        <v>47</v>
      </c>
      <c r="D6" s="79">
        <v>5.0599999999999996</v>
      </c>
    </row>
    <row r="7" spans="3:10" x14ac:dyDescent="0.2">
      <c r="C7" s="79" t="s">
        <v>48</v>
      </c>
      <c r="D7" s="79">
        <v>4.99</v>
      </c>
    </row>
    <row r="8" spans="3:10" x14ac:dyDescent="0.2">
      <c r="C8" s="79" t="s">
        <v>34</v>
      </c>
      <c r="D8" s="80">
        <v>5.13</v>
      </c>
    </row>
    <row r="9" spans="3:10" x14ac:dyDescent="0.2">
      <c r="C9" s="79" t="s">
        <v>35</v>
      </c>
      <c r="D9" s="80">
        <v>5.0199999999999996</v>
      </c>
    </row>
    <row r="10" spans="3:10" x14ac:dyDescent="0.2">
      <c r="C10" s="79" t="s">
        <v>36</v>
      </c>
      <c r="D10" s="80">
        <v>4.96</v>
      </c>
    </row>
    <row r="11" spans="3:10" x14ac:dyDescent="0.2">
      <c r="C11" s="79" t="s">
        <v>37</v>
      </c>
      <c r="D11" s="80">
        <v>4.96</v>
      </c>
    </row>
    <row r="12" spans="3:10" x14ac:dyDescent="0.2">
      <c r="C12" s="79" t="s">
        <v>38</v>
      </c>
      <c r="D12" s="80">
        <v>3.04</v>
      </c>
    </row>
    <row r="13" spans="3:10" x14ac:dyDescent="0.2">
      <c r="C13" s="79" t="s">
        <v>39</v>
      </c>
      <c r="D13" s="80">
        <v>3.16</v>
      </c>
    </row>
    <row r="14" spans="3:10" x14ac:dyDescent="0.2">
      <c r="C14" s="79" t="s">
        <v>44</v>
      </c>
      <c r="D14" s="80">
        <v>3.63</v>
      </c>
    </row>
    <row r="15" spans="3:10" x14ac:dyDescent="0.2">
      <c r="C15" s="79" t="s">
        <v>45</v>
      </c>
      <c r="D15" s="80">
        <v>4.0199999999999996</v>
      </c>
    </row>
    <row r="16" spans="3:10" x14ac:dyDescent="0.2">
      <c r="C16" s="79" t="s">
        <v>46</v>
      </c>
      <c r="D16" s="80">
        <v>4.59</v>
      </c>
      <c r="J16" s="24"/>
    </row>
    <row r="17" spans="3:11" x14ac:dyDescent="0.2">
      <c r="C17" s="79" t="s">
        <v>50</v>
      </c>
      <c r="D17" s="80">
        <v>4.7300000000000004</v>
      </c>
      <c r="J17" s="296"/>
      <c r="K17" s="24"/>
    </row>
    <row r="18" spans="3:11" x14ac:dyDescent="0.2">
      <c r="C18" s="82" t="s">
        <v>40</v>
      </c>
      <c r="D18" s="212">
        <f>AVERAGE(D6:D17)</f>
        <v>4.4408333333333347</v>
      </c>
      <c r="J18" s="296"/>
      <c r="K18" s="24"/>
    </row>
    <row r="20" spans="3:11" x14ac:dyDescent="0.2">
      <c r="C20" s="155" t="s">
        <v>395</v>
      </c>
      <c r="G20" s="296"/>
      <c r="H20" s="24"/>
    </row>
    <row r="21" spans="3:11" x14ac:dyDescent="0.2">
      <c r="C21" s="24" t="s">
        <v>396</v>
      </c>
      <c r="G21" s="296"/>
      <c r="H21" s="24"/>
    </row>
    <row r="22" spans="3:11" x14ac:dyDescent="0.2">
      <c r="C22" s="21" t="s">
        <v>397</v>
      </c>
      <c r="G22" s="296"/>
      <c r="H22" s="24"/>
    </row>
    <row r="23" spans="3:11" x14ac:dyDescent="0.2">
      <c r="G23" s="296"/>
      <c r="H23" s="24"/>
    </row>
    <row r="25" spans="3:11" ht="15.75" x14ac:dyDescent="0.25">
      <c r="C25" s="297" t="s">
        <v>399</v>
      </c>
      <c r="D25" s="297"/>
      <c r="E25" s="297"/>
      <c r="F25" s="297"/>
      <c r="G25" s="297"/>
      <c r="H25" s="297"/>
      <c r="I25" s="297"/>
    </row>
    <row r="26" spans="3:11" x14ac:dyDescent="0.2">
      <c r="C26" s="298" t="s">
        <v>400</v>
      </c>
      <c r="D26" s="298"/>
      <c r="E26" s="298"/>
      <c r="F26" s="298"/>
      <c r="G26" s="298"/>
      <c r="H26" s="298"/>
      <c r="I26" s="298"/>
    </row>
    <row r="27" spans="3:11" ht="63.75" x14ac:dyDescent="0.2">
      <c r="C27" s="299" t="s">
        <v>401</v>
      </c>
      <c r="D27" s="299" t="s">
        <v>402</v>
      </c>
      <c r="E27" s="299" t="s">
        <v>403</v>
      </c>
      <c r="F27" s="299" t="s">
        <v>404</v>
      </c>
      <c r="G27" s="299" t="s">
        <v>405</v>
      </c>
      <c r="H27" s="299" t="s">
        <v>406</v>
      </c>
      <c r="I27" s="299" t="s">
        <v>407</v>
      </c>
    </row>
    <row r="28" spans="3:11" ht="25.5" x14ac:dyDescent="0.2">
      <c r="C28" s="300" t="s">
        <v>408</v>
      </c>
      <c r="D28" s="300" t="s">
        <v>409</v>
      </c>
      <c r="E28" s="300" t="s">
        <v>410</v>
      </c>
      <c r="F28" s="301">
        <v>131</v>
      </c>
      <c r="G28" s="301">
        <v>143240</v>
      </c>
      <c r="H28" s="302">
        <v>17593</v>
      </c>
      <c r="I28" s="303">
        <v>12.282184000000001</v>
      </c>
    </row>
    <row r="29" spans="3:11" ht="25.5" x14ac:dyDescent="0.2">
      <c r="C29" s="300" t="s">
        <v>411</v>
      </c>
      <c r="D29" s="300" t="s">
        <v>409</v>
      </c>
      <c r="E29" s="300" t="s">
        <v>412</v>
      </c>
      <c r="F29" s="301">
        <v>7</v>
      </c>
      <c r="G29" s="301">
        <v>54284</v>
      </c>
      <c r="H29" s="302">
        <v>7927.7</v>
      </c>
      <c r="I29" s="303">
        <v>14.604119000000001</v>
      </c>
    </row>
    <row r="30" spans="3:11" ht="25.5" x14ac:dyDescent="0.2">
      <c r="C30" s="300" t="s">
        <v>413</v>
      </c>
      <c r="D30" s="300" t="s">
        <v>409</v>
      </c>
      <c r="E30" s="300" t="s">
        <v>414</v>
      </c>
      <c r="F30" s="301">
        <v>24</v>
      </c>
      <c r="G30" s="301">
        <v>22821</v>
      </c>
      <c r="H30" s="302">
        <v>2995</v>
      </c>
      <c r="I30" s="303">
        <v>13.123877</v>
      </c>
    </row>
    <row r="31" spans="3:11" x14ac:dyDescent="0.2">
      <c r="C31" s="300" t="s">
        <v>415</v>
      </c>
      <c r="D31" s="300" t="s">
        <v>409</v>
      </c>
      <c r="E31" s="300" t="s">
        <v>414</v>
      </c>
      <c r="F31" s="301">
        <v>19</v>
      </c>
      <c r="G31" s="301">
        <v>43654</v>
      </c>
      <c r="H31" s="302">
        <v>13201.7</v>
      </c>
      <c r="I31" s="303">
        <v>30.241672999999999</v>
      </c>
    </row>
    <row r="32" spans="3:11" ht="25.5" x14ac:dyDescent="0.2">
      <c r="C32" s="300" t="s">
        <v>416</v>
      </c>
      <c r="D32" s="300" t="s">
        <v>409</v>
      </c>
      <c r="E32" s="300" t="s">
        <v>412</v>
      </c>
      <c r="F32" s="301">
        <v>4</v>
      </c>
      <c r="G32" s="301">
        <v>8998</v>
      </c>
      <c r="H32" s="302">
        <v>1957</v>
      </c>
      <c r="I32" s="303">
        <v>21.749278</v>
      </c>
    </row>
    <row r="33" spans="3:9" ht="25.5" x14ac:dyDescent="0.2">
      <c r="C33" s="300" t="s">
        <v>417</v>
      </c>
      <c r="D33" s="300" t="s">
        <v>409</v>
      </c>
      <c r="E33" s="300" t="s">
        <v>412</v>
      </c>
      <c r="F33" s="301">
        <v>517</v>
      </c>
      <c r="G33" s="301">
        <v>827634</v>
      </c>
      <c r="H33" s="302">
        <v>143484.6</v>
      </c>
      <c r="I33" s="303">
        <v>17.336721000000001</v>
      </c>
    </row>
    <row r="34" spans="3:9" ht="25.5" x14ac:dyDescent="0.2">
      <c r="C34" s="300" t="s">
        <v>418</v>
      </c>
      <c r="D34" s="300" t="s">
        <v>409</v>
      </c>
      <c r="E34" s="300" t="s">
        <v>412</v>
      </c>
      <c r="F34" s="301">
        <v>25</v>
      </c>
      <c r="G34" s="301">
        <v>139497</v>
      </c>
      <c r="H34" s="302">
        <v>15498.7</v>
      </c>
      <c r="I34" s="303">
        <v>11.110417999999999</v>
      </c>
    </row>
    <row r="35" spans="3:9" x14ac:dyDescent="0.2">
      <c r="C35" s="300" t="s">
        <v>419</v>
      </c>
      <c r="D35" s="300" t="s">
        <v>409</v>
      </c>
      <c r="E35" s="300" t="s">
        <v>414</v>
      </c>
      <c r="F35" s="301">
        <v>17</v>
      </c>
      <c r="G35" s="301">
        <v>24066</v>
      </c>
      <c r="H35" s="302">
        <v>2157</v>
      </c>
      <c r="I35" s="303">
        <v>8.9628522000000004</v>
      </c>
    </row>
    <row r="36" spans="3:9" ht="25.5" x14ac:dyDescent="0.2">
      <c r="C36" s="300" t="s">
        <v>420</v>
      </c>
      <c r="D36" s="300" t="s">
        <v>409</v>
      </c>
      <c r="E36" s="300" t="s">
        <v>412</v>
      </c>
      <c r="F36" s="301">
        <v>106</v>
      </c>
      <c r="G36" s="301">
        <v>92951</v>
      </c>
      <c r="H36" s="302">
        <v>14524</v>
      </c>
      <c r="I36" s="303">
        <v>15.625437</v>
      </c>
    </row>
    <row r="37" spans="3:9" ht="25.5" x14ac:dyDescent="0.2">
      <c r="C37" s="300" t="s">
        <v>421</v>
      </c>
      <c r="D37" s="300" t="s">
        <v>409</v>
      </c>
      <c r="E37" s="300" t="s">
        <v>414</v>
      </c>
      <c r="F37" s="301">
        <v>31</v>
      </c>
      <c r="G37" s="301">
        <v>20270</v>
      </c>
      <c r="H37" s="302">
        <v>2238.6999999999998</v>
      </c>
      <c r="I37" s="303">
        <v>11.044401000000001</v>
      </c>
    </row>
    <row r="38" spans="3:9" x14ac:dyDescent="0.2">
      <c r="C38" s="300" t="s">
        <v>422</v>
      </c>
      <c r="D38" s="300" t="s">
        <v>409</v>
      </c>
      <c r="E38" s="300" t="s">
        <v>423</v>
      </c>
      <c r="F38" s="301">
        <v>493</v>
      </c>
      <c r="G38" s="301">
        <v>43145</v>
      </c>
      <c r="H38" s="302">
        <v>10539.1</v>
      </c>
      <c r="I38" s="303" t="s">
        <v>424</v>
      </c>
    </row>
    <row r="39" spans="3:9" ht="13.5" thickBot="1" x14ac:dyDescent="0.25"/>
    <row r="40" spans="3:9" ht="13.5" thickBot="1" x14ac:dyDescent="0.25">
      <c r="H40" s="713" t="s">
        <v>658</v>
      </c>
      <c r="I40" s="714">
        <f>AVERAGE(I28:I37)</f>
        <v>15.608096020000001</v>
      </c>
    </row>
    <row r="42" spans="3:9" x14ac:dyDescent="0.2">
      <c r="C42" s="24" t="s">
        <v>14</v>
      </c>
    </row>
    <row r="43" spans="3:9" x14ac:dyDescent="0.2">
      <c r="C43" s="24" t="s">
        <v>425</v>
      </c>
    </row>
    <row r="44" spans="3:9" x14ac:dyDescent="0.2">
      <c r="C44" s="21" t="s">
        <v>426</v>
      </c>
    </row>
  </sheetData>
  <pageMargins left="0.7" right="0.7" top="0.75" bottom="0.75" header="0.3" footer="0.3"/>
  <pageSetup scale="72" orientation="portrait" verticalDpi="300" r:id="rId1"/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theme="8" tint="0.59999389629810485"/>
  </sheetPr>
  <dimension ref="A1:N116"/>
  <sheetViews>
    <sheetView showGridLines="0" view="pageLayout" zoomScaleNormal="100" workbookViewId="0">
      <selection activeCell="B2" sqref="B2"/>
    </sheetView>
  </sheetViews>
  <sheetFormatPr defaultColWidth="9.140625" defaultRowHeight="15" x14ac:dyDescent="0.25"/>
  <cols>
    <col min="1" max="1" width="3.42578125" style="215" customWidth="1"/>
    <col min="2" max="2" width="38.5703125" style="215" customWidth="1"/>
    <col min="3" max="4" width="17.7109375" style="215" customWidth="1"/>
    <col min="5" max="5" width="16.85546875" style="215" customWidth="1"/>
    <col min="6" max="6" width="16.42578125" style="215" customWidth="1"/>
    <col min="7" max="7" width="15.7109375" style="215" customWidth="1"/>
    <col min="8" max="8" width="15.42578125" style="215" customWidth="1"/>
    <col min="9" max="9" width="17.7109375" style="215" customWidth="1"/>
    <col min="10" max="10" width="16" style="215" customWidth="1"/>
    <col min="11" max="11" width="13.140625" style="215" bestFit="1" customWidth="1"/>
    <col min="12" max="12" width="16.28515625" style="215" customWidth="1"/>
    <col min="13" max="13" width="17.28515625" style="215" customWidth="1"/>
    <col min="14" max="14" width="14.28515625" style="215" customWidth="1"/>
    <col min="15" max="16384" width="9.140625" style="215"/>
  </cols>
  <sheetData>
    <row r="1" spans="1:14" x14ac:dyDescent="0.25">
      <c r="A1" s="214" t="s">
        <v>665</v>
      </c>
      <c r="D1" s="216"/>
      <c r="E1" s="960" t="s">
        <v>664</v>
      </c>
    </row>
    <row r="2" spans="1:14" x14ac:dyDescent="0.25">
      <c r="A2" s="214"/>
    </row>
    <row r="3" spans="1:14" x14ac:dyDescent="0.25">
      <c r="A3" s="214"/>
      <c r="C3" s="217"/>
      <c r="D3" s="217"/>
      <c r="E3" s="217"/>
    </row>
    <row r="4" spans="1:14" x14ac:dyDescent="0.25">
      <c r="A4" s="214"/>
      <c r="B4" s="998" t="s">
        <v>227</v>
      </c>
      <c r="C4" s="1000" t="s">
        <v>228</v>
      </c>
      <c r="D4" s="1000"/>
      <c r="E4" s="1001" t="s">
        <v>229</v>
      </c>
      <c r="F4" s="1001"/>
      <c r="G4" s="1001"/>
      <c r="H4" s="1001"/>
      <c r="I4" s="1001"/>
      <c r="J4" s="1001"/>
      <c r="K4" s="1001"/>
      <c r="L4" s="1001"/>
      <c r="M4" s="1001"/>
      <c r="N4" s="1001"/>
    </row>
    <row r="5" spans="1:14" ht="45" x14ac:dyDescent="0.25">
      <c r="A5" s="214"/>
      <c r="B5" s="999"/>
      <c r="C5" s="218" t="s">
        <v>230</v>
      </c>
      <c r="D5" s="219" t="s">
        <v>231</v>
      </c>
      <c r="E5" s="1002"/>
      <c r="F5" s="1003"/>
      <c r="G5" s="220" t="s">
        <v>232</v>
      </c>
      <c r="H5" s="220" t="s">
        <v>233</v>
      </c>
      <c r="I5" s="696" t="s">
        <v>630</v>
      </c>
      <c r="J5" s="220" t="s">
        <v>232</v>
      </c>
      <c r="K5" s="220" t="s">
        <v>233</v>
      </c>
      <c r="L5" s="696" t="s">
        <v>632</v>
      </c>
      <c r="M5" s="220"/>
      <c r="N5" s="220" t="s">
        <v>234</v>
      </c>
    </row>
    <row r="6" spans="1:14" x14ac:dyDescent="0.25">
      <c r="A6" s="214"/>
      <c r="B6" s="221" t="s">
        <v>235</v>
      </c>
      <c r="C6" s="222">
        <f>0.32*'LNG Fuel'!$C$33/1020</f>
        <v>0.34101960784313728</v>
      </c>
      <c r="D6" s="223"/>
      <c r="E6" s="1004" t="s">
        <v>236</v>
      </c>
      <c r="F6" s="1005"/>
      <c r="G6" s="224">
        <v>-30</v>
      </c>
      <c r="H6" s="225">
        <v>1</v>
      </c>
      <c r="I6" s="226">
        <v>9</v>
      </c>
      <c r="J6" s="224">
        <v>-30</v>
      </c>
      <c r="K6" s="225">
        <v>1</v>
      </c>
      <c r="L6" s="226">
        <v>9</v>
      </c>
      <c r="M6" s="221" t="s">
        <v>235</v>
      </c>
      <c r="N6" s="227">
        <v>0.08</v>
      </c>
    </row>
    <row r="7" spans="1:14" x14ac:dyDescent="0.25">
      <c r="A7" s="214"/>
      <c r="B7" s="221" t="s">
        <v>237</v>
      </c>
      <c r="C7" s="222">
        <f>0.082*'LNG Fuel'!$C$33/1020</f>
        <v>8.7386274509803921E-2</v>
      </c>
      <c r="D7" s="223"/>
      <c r="E7" s="1004" t="s">
        <v>238</v>
      </c>
      <c r="F7" s="1005"/>
      <c r="G7" s="224">
        <v>-30</v>
      </c>
      <c r="H7" s="225">
        <v>1</v>
      </c>
      <c r="I7" s="226">
        <v>25</v>
      </c>
      <c r="J7" s="224">
        <v>-30</v>
      </c>
      <c r="K7" s="225">
        <v>1</v>
      </c>
      <c r="L7" s="226">
        <v>8</v>
      </c>
      <c r="M7" s="221" t="s">
        <v>237</v>
      </c>
      <c r="N7" s="227">
        <v>0.08</v>
      </c>
    </row>
    <row r="8" spans="1:14" x14ac:dyDescent="0.25">
      <c r="A8" s="214"/>
      <c r="B8" s="221" t="s">
        <v>239</v>
      </c>
      <c r="C8" s="222">
        <f>0.0021*'LNG Fuel'!$C$33/1020</f>
        <v>2.2379411764705879E-3</v>
      </c>
      <c r="D8" s="223"/>
      <c r="E8" s="1004" t="s">
        <v>240</v>
      </c>
      <c r="F8" s="1005"/>
      <c r="G8" s="224">
        <v>40</v>
      </c>
      <c r="H8" s="225">
        <v>1</v>
      </c>
      <c r="I8" s="226">
        <v>9</v>
      </c>
      <c r="J8" s="224">
        <v>40</v>
      </c>
      <c r="K8" s="225">
        <v>1</v>
      </c>
      <c r="L8" s="226">
        <v>9</v>
      </c>
      <c r="M8" s="221" t="s">
        <v>239</v>
      </c>
      <c r="N8" s="227">
        <v>1.4999999999999999E-2</v>
      </c>
    </row>
    <row r="9" spans="1:14" x14ac:dyDescent="0.25">
      <c r="A9" s="214"/>
      <c r="B9" s="221" t="s">
        <v>241</v>
      </c>
      <c r="C9" s="222">
        <f>0.0066*'LNG Fuel'!$C$33/1020</f>
        <v>7.0335294117647058E-3</v>
      </c>
      <c r="D9" s="223"/>
      <c r="E9" s="1004" t="s">
        <v>242</v>
      </c>
      <c r="F9" s="1005"/>
      <c r="G9" s="224">
        <v>40</v>
      </c>
      <c r="H9" s="225">
        <v>1</v>
      </c>
      <c r="I9" s="226">
        <v>25</v>
      </c>
      <c r="J9" s="224">
        <v>40</v>
      </c>
      <c r="K9" s="225">
        <v>1</v>
      </c>
      <c r="L9" s="226">
        <v>5</v>
      </c>
      <c r="M9" s="221" t="s">
        <v>241</v>
      </c>
      <c r="N9" s="227">
        <v>5.0000000000000001E-3</v>
      </c>
    </row>
    <row r="10" spans="1:14" x14ac:dyDescent="0.25">
      <c r="A10" s="214"/>
      <c r="B10" s="221" t="s">
        <v>243</v>
      </c>
      <c r="C10" s="222">
        <f>0.0066*'LNG Fuel'!$C$33/1020</f>
        <v>7.0335294117647058E-3</v>
      </c>
      <c r="D10" s="223"/>
      <c r="E10" s="982"/>
      <c r="F10" s="983"/>
      <c r="G10" s="228"/>
      <c r="H10" s="228"/>
      <c r="I10" s="229"/>
      <c r="J10" s="229"/>
      <c r="K10" s="229"/>
      <c r="L10" s="229"/>
      <c r="M10" s="221" t="s">
        <v>243</v>
      </c>
      <c r="N10" s="227">
        <v>5.0000000000000001E-3</v>
      </c>
    </row>
    <row r="11" spans="1:14" x14ac:dyDescent="0.25">
      <c r="A11" s="214"/>
      <c r="B11" s="221" t="s">
        <v>244</v>
      </c>
      <c r="C11" s="222"/>
      <c r="D11" s="230">
        <f>53.06</f>
        <v>53.06</v>
      </c>
      <c r="E11" s="982"/>
      <c r="F11" s="983"/>
      <c r="G11" s="228"/>
      <c r="H11" s="228"/>
      <c r="I11" s="229"/>
      <c r="J11" s="229"/>
      <c r="K11" s="229"/>
      <c r="L11" s="229"/>
      <c r="M11" s="223"/>
      <c r="N11" s="223"/>
    </row>
    <row r="12" spans="1:14" x14ac:dyDescent="0.25">
      <c r="A12" s="214"/>
      <c r="B12" s="221" t="s">
        <v>245</v>
      </c>
      <c r="C12" s="222"/>
      <c r="D12" s="230">
        <f>0.001</f>
        <v>1E-3</v>
      </c>
      <c r="E12" s="982"/>
      <c r="F12" s="983"/>
      <c r="G12" s="228"/>
      <c r="H12" s="228"/>
      <c r="I12" s="223"/>
      <c r="J12" s="223"/>
      <c r="K12" s="223"/>
      <c r="L12" s="223"/>
      <c r="M12" s="223"/>
      <c r="N12" s="223"/>
    </row>
    <row r="13" spans="1:14" x14ac:dyDescent="0.25">
      <c r="A13" s="214"/>
      <c r="B13" s="221" t="s">
        <v>246</v>
      </c>
      <c r="C13" s="222"/>
      <c r="D13" s="231">
        <f>0.0001</f>
        <v>1E-4</v>
      </c>
      <c r="E13" s="982"/>
      <c r="F13" s="983"/>
      <c r="G13" s="228"/>
      <c r="H13" s="228"/>
      <c r="I13" s="223"/>
      <c r="J13" s="223"/>
      <c r="K13" s="223"/>
      <c r="L13" s="223"/>
      <c r="M13" s="223"/>
      <c r="N13" s="223"/>
    </row>
    <row r="14" spans="1:14" x14ac:dyDescent="0.25">
      <c r="A14" s="214"/>
      <c r="B14" s="232" t="s">
        <v>14</v>
      </c>
    </row>
    <row r="15" spans="1:14" x14ac:dyDescent="0.25">
      <c r="B15" s="232" t="s">
        <v>247</v>
      </c>
    </row>
    <row r="17" spans="2:8" ht="15" customHeight="1" x14ac:dyDescent="0.25">
      <c r="B17" s="233" t="s">
        <v>248</v>
      </c>
      <c r="C17" s="995" t="s">
        <v>631</v>
      </c>
      <c r="D17" s="995"/>
      <c r="E17" s="995" t="s">
        <v>226</v>
      </c>
      <c r="F17" s="995"/>
      <c r="G17" s="996" t="s">
        <v>249</v>
      </c>
      <c r="H17" s="997"/>
    </row>
    <row r="18" spans="2:8" x14ac:dyDescent="0.25">
      <c r="B18" s="234" t="s">
        <v>250</v>
      </c>
      <c r="C18" s="235" t="s">
        <v>251</v>
      </c>
      <c r="D18" s="235" t="s">
        <v>252</v>
      </c>
      <c r="E18" s="235" t="s">
        <v>251</v>
      </c>
      <c r="F18" s="235" t="s">
        <v>252</v>
      </c>
      <c r="G18" s="981"/>
      <c r="H18" s="981"/>
    </row>
    <row r="19" spans="2:8" x14ac:dyDescent="0.25">
      <c r="B19" s="236" t="s">
        <v>253</v>
      </c>
      <c r="C19" s="227">
        <v>6</v>
      </c>
      <c r="D19" s="227">
        <v>6</v>
      </c>
      <c r="E19" s="227">
        <v>4</v>
      </c>
      <c r="F19" s="227">
        <v>4</v>
      </c>
      <c r="G19" s="978" t="s">
        <v>633</v>
      </c>
      <c r="H19" s="979"/>
    </row>
    <row r="20" spans="2:8" x14ac:dyDescent="0.25">
      <c r="B20" s="221" t="s">
        <v>254</v>
      </c>
      <c r="C20" s="224">
        <f>G6</f>
        <v>-30</v>
      </c>
      <c r="D20" s="224">
        <f>G8</f>
        <v>40</v>
      </c>
      <c r="E20" s="224">
        <f>J6</f>
        <v>-30</v>
      </c>
      <c r="F20" s="224">
        <f>J8</f>
        <v>40</v>
      </c>
      <c r="G20" s="982"/>
      <c r="H20" s="983"/>
    </row>
    <row r="21" spans="2:8" x14ac:dyDescent="0.25">
      <c r="B21" s="221" t="s">
        <v>233</v>
      </c>
      <c r="C21" s="225">
        <v>1</v>
      </c>
      <c r="D21" s="225">
        <v>1</v>
      </c>
      <c r="E21" s="225">
        <v>1</v>
      </c>
      <c r="F21" s="225">
        <v>1</v>
      </c>
      <c r="G21" s="979"/>
      <c r="H21" s="979"/>
    </row>
    <row r="22" spans="2:8" x14ac:dyDescent="0.25">
      <c r="B22" s="221" t="s">
        <v>255</v>
      </c>
      <c r="C22" s="238">
        <v>8760</v>
      </c>
      <c r="D22" s="238">
        <v>8760</v>
      </c>
      <c r="E22" s="238">
        <v>8760</v>
      </c>
      <c r="F22" s="238">
        <v>8760</v>
      </c>
      <c r="G22" s="980"/>
      <c r="H22" s="980"/>
    </row>
    <row r="23" spans="2:8" x14ac:dyDescent="0.25">
      <c r="B23" s="221" t="s">
        <v>256</v>
      </c>
      <c r="C23" s="238">
        <f>C24/$K$48</f>
        <v>155759.68888292878</v>
      </c>
      <c r="D23" s="238">
        <f>D24/$K$48</f>
        <v>152876.49188681776</v>
      </c>
      <c r="E23" s="238">
        <f>E24/$K$48</f>
        <v>60603.459836395334</v>
      </c>
      <c r="F23" s="238">
        <f>F24/$K$48</f>
        <v>53756.202226096284</v>
      </c>
      <c r="G23" s="980"/>
      <c r="H23" s="980"/>
    </row>
    <row r="24" spans="2:8" x14ac:dyDescent="0.25">
      <c r="B24" s="221" t="s">
        <v>257</v>
      </c>
      <c r="C24" s="239">
        <v>116150</v>
      </c>
      <c r="D24" s="239">
        <v>114000</v>
      </c>
      <c r="E24" s="239">
        <v>45192</v>
      </c>
      <c r="F24" s="239">
        <v>40086</v>
      </c>
      <c r="G24" s="978" t="s">
        <v>633</v>
      </c>
      <c r="H24" s="979"/>
    </row>
    <row r="25" spans="2:8" x14ac:dyDescent="0.25">
      <c r="B25" s="221" t="s">
        <v>258</v>
      </c>
      <c r="C25" s="227">
        <v>1170</v>
      </c>
      <c r="D25" s="227">
        <v>1113</v>
      </c>
      <c r="E25" s="240">
        <v>433</v>
      </c>
      <c r="F25" s="240">
        <v>384</v>
      </c>
      <c r="G25" s="978" t="s">
        <v>633</v>
      </c>
      <c r="H25" s="979"/>
    </row>
    <row r="26" spans="2:8" x14ac:dyDescent="0.25">
      <c r="B26" s="221" t="s">
        <v>259</v>
      </c>
      <c r="C26" s="239">
        <v>2845</v>
      </c>
      <c r="D26" s="239">
        <v>2706</v>
      </c>
      <c r="E26" s="239">
        <v>1052</v>
      </c>
      <c r="F26" s="239">
        <v>933</v>
      </c>
      <c r="G26" s="978" t="s">
        <v>633</v>
      </c>
      <c r="H26" s="979"/>
    </row>
    <row r="27" spans="2:8" x14ac:dyDescent="0.25">
      <c r="B27" s="221" t="s">
        <v>260</v>
      </c>
      <c r="C27" s="241">
        <v>28.6</v>
      </c>
      <c r="D27" s="241">
        <v>28.5</v>
      </c>
      <c r="E27" s="241">
        <v>28.51</v>
      </c>
      <c r="F27" s="241">
        <v>28.54</v>
      </c>
      <c r="G27" s="978" t="s">
        <v>633</v>
      </c>
      <c r="H27" s="979"/>
    </row>
    <row r="28" spans="2:8" x14ac:dyDescent="0.25">
      <c r="B28" s="221" t="s">
        <v>261</v>
      </c>
      <c r="C28" s="239">
        <v>2524290</v>
      </c>
      <c r="D28" s="239">
        <v>2477111</v>
      </c>
      <c r="E28" s="239">
        <v>1027143</v>
      </c>
      <c r="F28" s="239">
        <v>924064</v>
      </c>
      <c r="G28" s="978" t="s">
        <v>633</v>
      </c>
      <c r="H28" s="979"/>
    </row>
    <row r="29" spans="2:8" x14ac:dyDescent="0.25">
      <c r="B29" s="221" t="s">
        <v>262</v>
      </c>
      <c r="C29" s="242">
        <f>C28/C27</f>
        <v>88261.888111888111</v>
      </c>
      <c r="D29" s="242">
        <f t="shared" ref="D29:F29" si="0">D28/D27</f>
        <v>86916.175438596489</v>
      </c>
      <c r="E29" s="242">
        <f t="shared" si="0"/>
        <v>36027.46404770256</v>
      </c>
      <c r="F29" s="242">
        <f t="shared" si="0"/>
        <v>32377.855641205326</v>
      </c>
      <c r="G29" s="980"/>
      <c r="H29" s="980"/>
    </row>
    <row r="30" spans="2:8" x14ac:dyDescent="0.25">
      <c r="B30" s="221" t="s">
        <v>263</v>
      </c>
      <c r="C30" s="698">
        <v>6.7199999999999996E-2</v>
      </c>
      <c r="D30" s="698">
        <v>7.0999999999999994E-2</v>
      </c>
      <c r="E30" s="698">
        <v>6.9400000000000003E-2</v>
      </c>
      <c r="F30" s="698">
        <v>6.4399999999999999E-2</v>
      </c>
      <c r="G30" s="978" t="s">
        <v>633</v>
      </c>
      <c r="H30" s="979"/>
    </row>
    <row r="31" spans="2:8" x14ac:dyDescent="0.25">
      <c r="B31" s="221" t="s">
        <v>264</v>
      </c>
      <c r="C31" s="242">
        <f t="shared" ref="C31:F31" si="1">C29-(C29*C30)</f>
        <v>82330.689230769232</v>
      </c>
      <c r="D31" s="242">
        <f t="shared" si="1"/>
        <v>80745.126982456131</v>
      </c>
      <c r="E31" s="242">
        <f t="shared" si="1"/>
        <v>33527.158042792005</v>
      </c>
      <c r="F31" s="242">
        <f t="shared" si="1"/>
        <v>30292.721737911703</v>
      </c>
      <c r="G31" s="982"/>
      <c r="H31" s="983"/>
    </row>
    <row r="32" spans="2:8" x14ac:dyDescent="0.25">
      <c r="B32" s="221" t="s">
        <v>265</v>
      </c>
      <c r="C32" s="243">
        <v>0.14399999999999999</v>
      </c>
      <c r="D32" s="243">
        <v>0.1459</v>
      </c>
      <c r="E32" s="243">
        <v>0.14699999999999999</v>
      </c>
      <c r="F32" s="243">
        <v>0.152</v>
      </c>
      <c r="G32" s="978" t="s">
        <v>633</v>
      </c>
      <c r="H32" s="979"/>
    </row>
    <row r="33" spans="2:12" x14ac:dyDescent="0.25">
      <c r="B33" s="221" t="s">
        <v>266</v>
      </c>
      <c r="C33" s="242">
        <f>C29*10.73*(C72+460)/14.696</f>
        <v>92153074.646162227</v>
      </c>
      <c r="D33" s="242">
        <f>D29*10.73*(D72+460)/14.696</f>
        <v>90748033.771929845</v>
      </c>
      <c r="E33" s="242">
        <f>E29*10.73*(E72+460)/14.696</f>
        <v>21070109.286520865</v>
      </c>
      <c r="F33" s="242">
        <f>F29*10.73*(F72+460)/14.696</f>
        <v>18935691.835542776</v>
      </c>
      <c r="G33" s="979"/>
      <c r="H33" s="979"/>
      <c r="J33" s="304">
        <f>1105*(C33/60)^0.5471</f>
        <v>2678669.0319434926</v>
      </c>
    </row>
    <row r="34" spans="2:12" x14ac:dyDescent="0.25">
      <c r="B34" s="244" t="s">
        <v>267</v>
      </c>
      <c r="C34" s="235" t="s">
        <v>251</v>
      </c>
      <c r="D34" s="235" t="s">
        <v>252</v>
      </c>
      <c r="E34" s="235" t="s">
        <v>251</v>
      </c>
      <c r="F34" s="235" t="s">
        <v>252</v>
      </c>
      <c r="G34" s="981"/>
      <c r="H34" s="981"/>
    </row>
    <row r="35" spans="2:12" x14ac:dyDescent="0.25">
      <c r="B35" s="221" t="s">
        <v>268</v>
      </c>
      <c r="C35" s="245">
        <f>$I$6</f>
        <v>9</v>
      </c>
      <c r="D35" s="245">
        <f>$I$8</f>
        <v>9</v>
      </c>
      <c r="E35" s="245">
        <f>$I$6</f>
        <v>9</v>
      </c>
      <c r="F35" s="245">
        <f>$I$8</f>
        <v>9</v>
      </c>
      <c r="G35" s="993" t="s">
        <v>269</v>
      </c>
      <c r="H35" s="994"/>
    </row>
    <row r="36" spans="2:12" x14ac:dyDescent="0.25">
      <c r="B36" s="221" t="s">
        <v>270</v>
      </c>
      <c r="C36" s="245">
        <f>$I$7</f>
        <v>25</v>
      </c>
      <c r="D36" s="245">
        <f>$I$9</f>
        <v>25</v>
      </c>
      <c r="E36" s="245">
        <f>$L$7</f>
        <v>8</v>
      </c>
      <c r="F36" s="245">
        <f>$L$9</f>
        <v>5</v>
      </c>
      <c r="G36" s="993" t="s">
        <v>269</v>
      </c>
      <c r="H36" s="994"/>
    </row>
    <row r="37" spans="2:12" x14ac:dyDescent="0.25">
      <c r="B37" s="221" t="s">
        <v>239</v>
      </c>
      <c r="C37" s="222">
        <f>$C$8</f>
        <v>2.2379411764705879E-3</v>
      </c>
      <c r="D37" s="222">
        <f t="shared" ref="D37:F37" si="2">$C$8</f>
        <v>2.2379411764705879E-3</v>
      </c>
      <c r="E37" s="222">
        <f t="shared" si="2"/>
        <v>2.2379411764705879E-3</v>
      </c>
      <c r="F37" s="222">
        <f t="shared" si="2"/>
        <v>2.2379411764705879E-3</v>
      </c>
      <c r="G37" s="980"/>
      <c r="H37" s="980"/>
      <c r="J37" s="988" t="s">
        <v>271</v>
      </c>
      <c r="K37" s="989"/>
      <c r="L37" s="990"/>
    </row>
    <row r="38" spans="2:12" x14ac:dyDescent="0.25">
      <c r="B38" s="221" t="s">
        <v>241</v>
      </c>
      <c r="C38" s="222">
        <f t="shared" ref="C38:F38" si="3">$C$9</f>
        <v>7.0335294117647058E-3</v>
      </c>
      <c r="D38" s="222">
        <f t="shared" si="3"/>
        <v>7.0335294117647058E-3</v>
      </c>
      <c r="E38" s="222">
        <f t="shared" si="3"/>
        <v>7.0335294117647058E-3</v>
      </c>
      <c r="F38" s="222">
        <f t="shared" si="3"/>
        <v>7.0335294117647058E-3</v>
      </c>
      <c r="G38" s="980"/>
      <c r="H38" s="980"/>
      <c r="J38" s="246" t="s">
        <v>272</v>
      </c>
      <c r="K38" s="246">
        <v>453.59</v>
      </c>
      <c r="L38" s="246" t="s">
        <v>273</v>
      </c>
    </row>
    <row r="39" spans="2:12" x14ac:dyDescent="0.25">
      <c r="B39" s="221" t="s">
        <v>243</v>
      </c>
      <c r="C39" s="222">
        <f t="shared" ref="C39:F39" si="4">$C$10</f>
        <v>7.0335294117647058E-3</v>
      </c>
      <c r="D39" s="222">
        <f t="shared" si="4"/>
        <v>7.0335294117647058E-3</v>
      </c>
      <c r="E39" s="222">
        <f t="shared" si="4"/>
        <v>7.0335294117647058E-3</v>
      </c>
      <c r="F39" s="222">
        <f t="shared" si="4"/>
        <v>7.0335294117647058E-3</v>
      </c>
      <c r="G39" s="980"/>
      <c r="H39" s="980"/>
      <c r="J39" s="246" t="s">
        <v>274</v>
      </c>
      <c r="K39" s="246">
        <v>378.49</v>
      </c>
      <c r="L39" s="246" t="s">
        <v>275</v>
      </c>
    </row>
    <row r="40" spans="2:12" x14ac:dyDescent="0.25">
      <c r="B40" s="221" t="s">
        <v>276</v>
      </c>
      <c r="C40" s="230" t="s">
        <v>277</v>
      </c>
      <c r="D40" s="230" t="s">
        <v>277</v>
      </c>
      <c r="E40" s="230" t="s">
        <v>277</v>
      </c>
      <c r="F40" s="230" t="s">
        <v>277</v>
      </c>
      <c r="G40" s="991" t="s">
        <v>278</v>
      </c>
      <c r="H40" s="992"/>
      <c r="J40" s="246" t="s">
        <v>279</v>
      </c>
      <c r="K40" s="246">
        <v>1000000</v>
      </c>
      <c r="L40" s="246" t="s">
        <v>280</v>
      </c>
    </row>
    <row r="41" spans="2:12" x14ac:dyDescent="0.25">
      <c r="B41" s="221" t="s">
        <v>244</v>
      </c>
      <c r="C41" s="230">
        <f t="shared" ref="C41:F41" si="5">$D$11</f>
        <v>53.06</v>
      </c>
      <c r="D41" s="230">
        <f t="shared" si="5"/>
        <v>53.06</v>
      </c>
      <c r="E41" s="230">
        <f t="shared" si="5"/>
        <v>53.06</v>
      </c>
      <c r="F41" s="230">
        <f t="shared" si="5"/>
        <v>53.06</v>
      </c>
      <c r="G41" s="980"/>
      <c r="H41" s="980"/>
      <c r="J41" s="247" t="s">
        <v>281</v>
      </c>
      <c r="K41" s="247">
        <v>60</v>
      </c>
      <c r="L41" s="247" t="s">
        <v>282</v>
      </c>
    </row>
    <row r="42" spans="2:12" x14ac:dyDescent="0.25">
      <c r="B42" s="221" t="s">
        <v>245</v>
      </c>
      <c r="C42" s="230">
        <f t="shared" ref="C42:F42" si="6">$D$12</f>
        <v>1E-3</v>
      </c>
      <c r="D42" s="230">
        <f t="shared" si="6"/>
        <v>1E-3</v>
      </c>
      <c r="E42" s="230">
        <f t="shared" si="6"/>
        <v>1E-3</v>
      </c>
      <c r="F42" s="230">
        <f t="shared" si="6"/>
        <v>1E-3</v>
      </c>
      <c r="G42" s="980"/>
      <c r="H42" s="980"/>
      <c r="J42" s="247" t="s">
        <v>283</v>
      </c>
      <c r="K42" s="246">
        <v>2.8316999999999998E-2</v>
      </c>
      <c r="L42" s="247" t="s">
        <v>284</v>
      </c>
    </row>
    <row r="43" spans="2:12" x14ac:dyDescent="0.25">
      <c r="B43" s="221" t="s">
        <v>246</v>
      </c>
      <c r="C43" s="231">
        <f t="shared" ref="C43:F43" si="7">$D$13</f>
        <v>1E-4</v>
      </c>
      <c r="D43" s="231">
        <f t="shared" si="7"/>
        <v>1E-4</v>
      </c>
      <c r="E43" s="231">
        <f t="shared" si="7"/>
        <v>1E-4</v>
      </c>
      <c r="F43" s="231">
        <f t="shared" si="7"/>
        <v>1E-4</v>
      </c>
      <c r="G43" s="980"/>
      <c r="H43" s="980"/>
      <c r="J43" s="246" t="s">
        <v>285</v>
      </c>
      <c r="K43" s="246">
        <v>60</v>
      </c>
      <c r="L43" s="246" t="s">
        <v>286</v>
      </c>
    </row>
    <row r="44" spans="2:12" x14ac:dyDescent="0.25">
      <c r="B44" s="244" t="s">
        <v>287</v>
      </c>
      <c r="C44" s="235"/>
      <c r="D44" s="235"/>
      <c r="E44" s="235"/>
      <c r="F44" s="235"/>
      <c r="G44" s="981"/>
      <c r="H44" s="981"/>
      <c r="J44" s="247" t="s">
        <v>288</v>
      </c>
      <c r="K44" s="247">
        <v>0.94781700000000002</v>
      </c>
      <c r="L44" s="247" t="s">
        <v>289</v>
      </c>
    </row>
    <row r="45" spans="2:12" ht="15" customHeight="1" x14ac:dyDescent="0.25">
      <c r="B45" s="221" t="s">
        <v>290</v>
      </c>
      <c r="C45" s="222">
        <f>C31*((C35/$K$50)*(0.209-C32)/(0.209-0.15))*$K$59</f>
        <v>37.559330198847462</v>
      </c>
      <c r="D45" s="222">
        <f>D31*((D35/$K$50)*(0.209-D32)/(0.209-0.15))*$K$59</f>
        <v>35.759250877790294</v>
      </c>
      <c r="E45" s="222">
        <f>E31*((E35/$K$50)*(0.209-E32)/(0.209-0.15))*$K$59</f>
        <v>14.589189392953628</v>
      </c>
      <c r="F45" s="222">
        <f>F31*((F35/$K$50)*(0.209-F32)/(0.209-0.15))*$K$59</f>
        <v>12.118695749724676</v>
      </c>
      <c r="G45" s="980"/>
      <c r="H45" s="980"/>
      <c r="J45" s="247" t="s">
        <v>291</v>
      </c>
      <c r="K45" s="247">
        <v>28.32</v>
      </c>
      <c r="L45" s="247" t="s">
        <v>292</v>
      </c>
    </row>
    <row r="46" spans="2:12" x14ac:dyDescent="0.25">
      <c r="B46" s="221" t="s">
        <v>293</v>
      </c>
      <c r="C46" s="222">
        <f>C31*((C36/$K$50)*(0.209-C32)/(0.209-0.15))*$K$60</f>
        <v>63.51498701186442</v>
      </c>
      <c r="D46" s="222">
        <f>D31*((D36/$K$50)*(0.209-D32)/(0.209-0.15))*$K$60</f>
        <v>60.470949376156526</v>
      </c>
      <c r="E46" s="222">
        <f>E31*((E36/$K$50)*(0.209-E32)/(0.209-0.15))*$K$60</f>
        <v>7.8947706034269087</v>
      </c>
      <c r="F46" s="222">
        <f>F31*((F36/$K$50)*(0.209-F32)/(0.209-0.15))*$K$60</f>
        <v>4.0986822665337028</v>
      </c>
      <c r="G46" s="980"/>
      <c r="H46" s="980"/>
      <c r="J46" s="247" t="s">
        <v>294</v>
      </c>
      <c r="K46" s="247">
        <v>1000000</v>
      </c>
      <c r="L46" s="247" t="s">
        <v>295</v>
      </c>
    </row>
    <row r="47" spans="2:12" x14ac:dyDescent="0.25">
      <c r="B47" s="221" t="s">
        <v>296</v>
      </c>
      <c r="C47" s="222">
        <f t="shared" ref="C47:F47" si="8">C37*C25</f>
        <v>2.6183911764705878</v>
      </c>
      <c r="D47" s="222">
        <f t="shared" si="8"/>
        <v>2.4908285294117642</v>
      </c>
      <c r="E47" s="222">
        <f t="shared" si="8"/>
        <v>0.96902852941176454</v>
      </c>
      <c r="F47" s="222">
        <f t="shared" si="8"/>
        <v>0.85936941176470572</v>
      </c>
      <c r="G47" s="980"/>
      <c r="H47" s="980"/>
      <c r="J47" s="247" t="s">
        <v>297</v>
      </c>
      <c r="K47" s="247">
        <v>2000</v>
      </c>
      <c r="L47" s="247" t="s">
        <v>298</v>
      </c>
    </row>
    <row r="48" spans="2:12" x14ac:dyDescent="0.25">
      <c r="B48" s="221" t="s">
        <v>299</v>
      </c>
      <c r="C48" s="222">
        <f>C38*C25</f>
        <v>8.229229411764706</v>
      </c>
      <c r="D48" s="222">
        <f t="shared" ref="D48:F48" si="9">D38*D25</f>
        <v>7.8283182352941179</v>
      </c>
      <c r="E48" s="222">
        <f t="shared" si="9"/>
        <v>3.0455182352941175</v>
      </c>
      <c r="F48" s="222">
        <f t="shared" si="9"/>
        <v>2.700875294117647</v>
      </c>
      <c r="G48" s="980"/>
      <c r="H48" s="980"/>
      <c r="J48" s="247" t="s">
        <v>300</v>
      </c>
      <c r="K48" s="247">
        <v>0.74570000000000003</v>
      </c>
      <c r="L48" s="247" t="s">
        <v>301</v>
      </c>
    </row>
    <row r="49" spans="2:12" x14ac:dyDescent="0.25">
      <c r="B49" s="221" t="s">
        <v>302</v>
      </c>
      <c r="C49" s="222">
        <f t="shared" ref="C49:F49" si="10">C39*C25</f>
        <v>8.229229411764706</v>
      </c>
      <c r="D49" s="222">
        <f t="shared" si="10"/>
        <v>7.8283182352941179</v>
      </c>
      <c r="E49" s="222">
        <f t="shared" si="10"/>
        <v>3.0455182352941175</v>
      </c>
      <c r="F49" s="222">
        <f t="shared" si="10"/>
        <v>2.700875294117647</v>
      </c>
      <c r="G49" s="980"/>
      <c r="H49" s="980"/>
      <c r="J49" s="247" t="s">
        <v>303</v>
      </c>
      <c r="K49" s="247">
        <v>2.2046000000000001</v>
      </c>
      <c r="L49" s="247" t="s">
        <v>298</v>
      </c>
    </row>
    <row r="50" spans="2:12" x14ac:dyDescent="0.25">
      <c r="B50" s="221" t="s">
        <v>304</v>
      </c>
      <c r="C50" s="222">
        <f>C26*('LNG Fuel'!$C$22/100)*'LNG Fuel'!$D$22</f>
        <v>2.9162843199999999</v>
      </c>
      <c r="D50" s="222">
        <f>D26*('LNG Fuel'!$C$22/100)*'LNG Fuel'!$D$22</f>
        <v>2.7738015360000001</v>
      </c>
      <c r="E50" s="222">
        <f>E26*('LNG Fuel'!$C$22/100)*'LNG Fuel'!$D$22</f>
        <v>1.0783589120000001</v>
      </c>
      <c r="F50" s="222">
        <f>F26*('LNG Fuel'!$C$22/100)*'LNG Fuel'!$D$22</f>
        <v>0.9563772479999999</v>
      </c>
      <c r="G50" s="980"/>
      <c r="H50" s="980"/>
      <c r="J50" s="247" t="s">
        <v>305</v>
      </c>
      <c r="K50" s="247">
        <v>1000000</v>
      </c>
      <c r="L50" s="247" t="s">
        <v>306</v>
      </c>
    </row>
    <row r="51" spans="2:12" x14ac:dyDescent="0.25">
      <c r="B51" s="221" t="s">
        <v>307</v>
      </c>
      <c r="C51" s="222">
        <f>C26*('LNG Fuel'!$C$23/100)*'LNG Fuel'!$D$23</f>
        <v>17.470365754500001</v>
      </c>
      <c r="D51" s="222">
        <f>D26*('LNG Fuel'!$C$23/100)*'LNG Fuel'!$D$23</f>
        <v>16.616804826599999</v>
      </c>
      <c r="E51" s="222">
        <f>E26*('LNG Fuel'!$C$23/100)*'LNG Fuel'!$D$23</f>
        <v>6.4600438572000005</v>
      </c>
      <c r="F51" s="222">
        <f>F26*('LNG Fuel'!$C$23/100)*'LNG Fuel'!$D$23</f>
        <v>5.7292974512999999</v>
      </c>
      <c r="G51" s="980"/>
      <c r="H51" s="980"/>
      <c r="J51" s="248" t="s">
        <v>308</v>
      </c>
      <c r="K51" s="247">
        <v>1000</v>
      </c>
      <c r="L51" s="248" t="s">
        <v>309</v>
      </c>
    </row>
    <row r="52" spans="2:12" x14ac:dyDescent="0.25">
      <c r="B52" s="221" t="s">
        <v>310</v>
      </c>
      <c r="C52" s="249">
        <f>C41*C25*$K$49</f>
        <v>136862.00892000002</v>
      </c>
      <c r="D52" s="249">
        <f>D41*D25*$K$49</f>
        <v>130194.37258800003</v>
      </c>
      <c r="E52" s="249">
        <f>E41*E25*$K$49</f>
        <v>50650.640908000001</v>
      </c>
      <c r="F52" s="249">
        <f>F41*F25*$K$49</f>
        <v>44918.813184000006</v>
      </c>
      <c r="G52" s="980"/>
      <c r="H52" s="980"/>
    </row>
    <row r="53" spans="2:12" x14ac:dyDescent="0.25">
      <c r="B53" s="221" t="s">
        <v>311</v>
      </c>
      <c r="C53" s="249">
        <f>C42*C25*$K$49</f>
        <v>2.5793819999999998</v>
      </c>
      <c r="D53" s="249">
        <f>D42*D25*$K$49</f>
        <v>2.4537198</v>
      </c>
      <c r="E53" s="249">
        <f>E42*E25*$K$49</f>
        <v>0.95459179999999999</v>
      </c>
      <c r="F53" s="249">
        <f>F42*F25*$K$49</f>
        <v>0.84656640000000005</v>
      </c>
      <c r="G53" s="980"/>
      <c r="H53" s="980"/>
      <c r="J53" s="986" t="s">
        <v>312</v>
      </c>
      <c r="K53" s="987"/>
    </row>
    <row r="54" spans="2:12" x14ac:dyDescent="0.25">
      <c r="B54" s="221" t="s">
        <v>313</v>
      </c>
      <c r="C54" s="249">
        <f>C43*C25*$K$49</f>
        <v>0.25793820000000001</v>
      </c>
      <c r="D54" s="249">
        <f>D43*D25*$K$49</f>
        <v>0.24537198000000005</v>
      </c>
      <c r="E54" s="249">
        <f>E43*E25*$K$49</f>
        <v>9.5459180000000018E-2</v>
      </c>
      <c r="F54" s="249">
        <f>F43*F25*$K$49</f>
        <v>8.4656640000000019E-2</v>
      </c>
      <c r="G54" s="980"/>
      <c r="H54" s="980"/>
      <c r="J54" s="250">
        <v>1</v>
      </c>
      <c r="K54" s="251" t="s">
        <v>314</v>
      </c>
    </row>
    <row r="55" spans="2:12" x14ac:dyDescent="0.25">
      <c r="B55" s="221" t="s">
        <v>315</v>
      </c>
      <c r="C55" s="249">
        <f>C52*$J$54+C53*$J$55+C54*$J$56</f>
        <v>137003.35905360003</v>
      </c>
      <c r="D55" s="249">
        <f>D52*$J$54+D53*$J$55+D54*$J$56</f>
        <v>130328.83643304002</v>
      </c>
      <c r="E55" s="249">
        <f>E52*$J$54+E53*$J$55+E54*$J$56</f>
        <v>50702.952538640006</v>
      </c>
      <c r="F55" s="249">
        <f>F52*$J$54+F53*$J$55+F54*$J$56</f>
        <v>44965.205022720009</v>
      </c>
      <c r="G55" s="980"/>
      <c r="H55" s="980"/>
      <c r="J55" s="250">
        <v>25</v>
      </c>
      <c r="K55" s="251" t="s">
        <v>316</v>
      </c>
    </row>
    <row r="56" spans="2:12" x14ac:dyDescent="0.25">
      <c r="B56" s="244" t="s">
        <v>320</v>
      </c>
      <c r="C56" s="252"/>
      <c r="D56" s="252"/>
      <c r="E56" s="252"/>
      <c r="F56" s="252"/>
      <c r="G56" s="981"/>
      <c r="H56" s="981"/>
      <c r="J56" s="250">
        <v>298</v>
      </c>
      <c r="K56" s="251" t="s">
        <v>317</v>
      </c>
    </row>
    <row r="57" spans="2:12" x14ac:dyDescent="0.25">
      <c r="B57" s="221" t="s">
        <v>321</v>
      </c>
      <c r="C57" s="249">
        <f>C45/$K$47*C$22</f>
        <v>164.50986627095187</v>
      </c>
      <c r="D57" s="249">
        <f t="shared" ref="D57:F57" si="11">D45/$K$47*D$22</f>
        <v>156.62551884472148</v>
      </c>
      <c r="E57" s="249">
        <f t="shared" si="11"/>
        <v>63.900649541136893</v>
      </c>
      <c r="F57" s="249">
        <f t="shared" si="11"/>
        <v>53.07988738379408</v>
      </c>
      <c r="G57" s="980"/>
      <c r="H57" s="980"/>
    </row>
    <row r="58" spans="2:12" x14ac:dyDescent="0.25">
      <c r="B58" s="221" t="s">
        <v>322</v>
      </c>
      <c r="C58" s="249">
        <f t="shared" ref="C58:F58" si="12">C46/$K$47*C$22</f>
        <v>278.19564311196615</v>
      </c>
      <c r="D58" s="249">
        <f t="shared" si="12"/>
        <v>264.8627582675656</v>
      </c>
      <c r="E58" s="249">
        <f t="shared" si="12"/>
        <v>34.57909524300986</v>
      </c>
      <c r="F58" s="249">
        <f t="shared" si="12"/>
        <v>17.952228327417618</v>
      </c>
      <c r="G58" s="980"/>
      <c r="H58" s="980"/>
      <c r="J58" s="982" t="s">
        <v>71</v>
      </c>
      <c r="K58" s="983"/>
    </row>
    <row r="59" spans="2:12" x14ac:dyDescent="0.25">
      <c r="B59" s="221" t="s">
        <v>323</v>
      </c>
      <c r="C59" s="249">
        <f t="shared" ref="C59:F59" si="13">C47/$K$47*C$22</f>
        <v>11.468553352941175</v>
      </c>
      <c r="D59" s="249">
        <f t="shared" si="13"/>
        <v>10.909828958823526</v>
      </c>
      <c r="E59" s="249">
        <f t="shared" si="13"/>
        <v>4.2443449588235289</v>
      </c>
      <c r="F59" s="249">
        <f t="shared" si="13"/>
        <v>3.7640380235294111</v>
      </c>
      <c r="G59" s="980"/>
      <c r="H59" s="980"/>
      <c r="J59" s="223" t="s">
        <v>318</v>
      </c>
      <c r="K59" s="223">
        <v>46.01</v>
      </c>
    </row>
    <row r="60" spans="2:12" x14ac:dyDescent="0.25">
      <c r="B60" s="221" t="s">
        <v>324</v>
      </c>
      <c r="C60" s="249">
        <f t="shared" ref="C60:F60" si="14">C48/$K$47*C$22</f>
        <v>36.044024823529419</v>
      </c>
      <c r="D60" s="249">
        <f t="shared" si="14"/>
        <v>34.288033870588237</v>
      </c>
      <c r="E60" s="249">
        <f t="shared" si="14"/>
        <v>13.339369870588236</v>
      </c>
      <c r="F60" s="249">
        <f t="shared" si="14"/>
        <v>11.829833788235295</v>
      </c>
      <c r="G60" s="980"/>
      <c r="H60" s="980"/>
      <c r="J60" s="223" t="s">
        <v>319</v>
      </c>
      <c r="K60" s="223">
        <v>28.01</v>
      </c>
    </row>
    <row r="61" spans="2:12" x14ac:dyDescent="0.25">
      <c r="B61" s="221" t="s">
        <v>325</v>
      </c>
      <c r="C61" s="249">
        <f t="shared" ref="C61:F61" si="15">C49/$K$47*C$22</f>
        <v>36.044024823529419</v>
      </c>
      <c r="D61" s="249">
        <f t="shared" si="15"/>
        <v>34.288033870588237</v>
      </c>
      <c r="E61" s="249">
        <f t="shared" si="15"/>
        <v>13.339369870588236</v>
      </c>
      <c r="F61" s="249">
        <f t="shared" si="15"/>
        <v>11.829833788235295</v>
      </c>
      <c r="G61" s="980"/>
      <c r="H61" s="980"/>
    </row>
    <row r="62" spans="2:12" x14ac:dyDescent="0.25">
      <c r="B62" s="221" t="s">
        <v>326</v>
      </c>
      <c r="C62" s="249">
        <f t="shared" ref="C62:F62" si="16">C50/$K$47*C$22</f>
        <v>12.7733253216</v>
      </c>
      <c r="D62" s="249">
        <f t="shared" si="16"/>
        <v>12.149250727680002</v>
      </c>
      <c r="E62" s="249">
        <f t="shared" si="16"/>
        <v>4.7232120345600004</v>
      </c>
      <c r="F62" s="249">
        <f t="shared" si="16"/>
        <v>4.1889323462399997</v>
      </c>
      <c r="G62" s="980"/>
      <c r="H62" s="980"/>
    </row>
    <row r="63" spans="2:12" x14ac:dyDescent="0.25">
      <c r="B63" s="221" t="s">
        <v>327</v>
      </c>
      <c r="C63" s="249">
        <f t="shared" ref="C63:F63" si="17">C51/$K$47*C$22</f>
        <v>76.520202004710015</v>
      </c>
      <c r="D63" s="249">
        <f t="shared" si="17"/>
        <v>72.781605140507992</v>
      </c>
      <c r="E63" s="249">
        <f t="shared" si="17"/>
        <v>28.294992094536003</v>
      </c>
      <c r="F63" s="249">
        <f t="shared" si="17"/>
        <v>25.094322836693998</v>
      </c>
      <c r="G63" s="980"/>
      <c r="H63" s="980"/>
    </row>
    <row r="64" spans="2:12" x14ac:dyDescent="0.25">
      <c r="B64" s="221" t="s">
        <v>328</v>
      </c>
      <c r="C64" s="249">
        <f>C25*C41/$K$51*C22</f>
        <v>543822.55200000003</v>
      </c>
      <c r="D64" s="249">
        <f t="shared" ref="D64:F64" si="18">D25*D41/$K$51*D22</f>
        <v>517328.63280000002</v>
      </c>
      <c r="E64" s="249">
        <f t="shared" si="18"/>
        <v>201260.8248</v>
      </c>
      <c r="F64" s="249">
        <f t="shared" si="18"/>
        <v>178485.35040000002</v>
      </c>
      <c r="G64" s="980"/>
      <c r="H64" s="980"/>
    </row>
    <row r="65" spans="2:8" x14ac:dyDescent="0.25">
      <c r="B65" s="221" t="s">
        <v>329</v>
      </c>
      <c r="C65" s="249">
        <f>C25*C42/$K$51*C22</f>
        <v>10.2492</v>
      </c>
      <c r="D65" s="249">
        <f t="shared" ref="D65:F65" si="19">D25*D42/$K$51*D22</f>
        <v>9.749880000000001</v>
      </c>
      <c r="E65" s="249">
        <f t="shared" si="19"/>
        <v>3.7930800000000002</v>
      </c>
      <c r="F65" s="249">
        <f t="shared" si="19"/>
        <v>3.3638400000000002</v>
      </c>
      <c r="G65" s="980"/>
      <c r="H65" s="980"/>
    </row>
    <row r="66" spans="2:8" x14ac:dyDescent="0.25">
      <c r="B66" s="221" t="s">
        <v>330</v>
      </c>
      <c r="C66" s="249">
        <f>C25*C43/$K$51*C22</f>
        <v>1.0249200000000001</v>
      </c>
      <c r="D66" s="249">
        <f t="shared" ref="D66:F66" si="20">D25*D43/$K$51*D22</f>
        <v>0.97498800000000008</v>
      </c>
      <c r="E66" s="249">
        <f t="shared" si="20"/>
        <v>0.37930800000000003</v>
      </c>
      <c r="F66" s="249">
        <f t="shared" si="20"/>
        <v>0.33638400000000007</v>
      </c>
      <c r="G66" s="980"/>
      <c r="H66" s="980"/>
    </row>
    <row r="67" spans="2:8" x14ac:dyDescent="0.25">
      <c r="B67" s="221" t="s">
        <v>331</v>
      </c>
      <c r="C67" s="249">
        <f>C64*$J$54+C65*$J$55+C66*$J$56</f>
        <v>544384.20816000004</v>
      </c>
      <c r="D67" s="249">
        <f>D64*$J$54+D65*$J$55+D66*$J$56</f>
        <v>517862.926224</v>
      </c>
      <c r="E67" s="249">
        <f>E64*$J$54+E65*$J$55+E66*$J$56</f>
        <v>201468.68558399999</v>
      </c>
      <c r="F67" s="249">
        <f>F64*$J$54+F65*$J$55+F66*$J$56</f>
        <v>178669.68883200001</v>
      </c>
      <c r="G67" s="980"/>
      <c r="H67" s="980"/>
    </row>
    <row r="68" spans="2:8" x14ac:dyDescent="0.25">
      <c r="B68" s="244" t="s">
        <v>332</v>
      </c>
      <c r="C68" s="252"/>
      <c r="D68" s="252"/>
      <c r="E68" s="252"/>
      <c r="F68" s="252"/>
      <c r="G68" s="981"/>
      <c r="H68" s="981"/>
    </row>
    <row r="69" spans="2:8" x14ac:dyDescent="0.25">
      <c r="B69" s="253" t="s">
        <v>333</v>
      </c>
      <c r="C69" s="227">
        <v>210</v>
      </c>
      <c r="D69" s="227">
        <v>210</v>
      </c>
      <c r="E69" s="227">
        <v>150</v>
      </c>
      <c r="F69" s="227">
        <v>150</v>
      </c>
      <c r="G69" s="978" t="s">
        <v>633</v>
      </c>
      <c r="H69" s="979"/>
    </row>
    <row r="70" spans="2:8" x14ac:dyDescent="0.25">
      <c r="B70" s="253" t="s">
        <v>334</v>
      </c>
      <c r="C70" s="254">
        <v>-30</v>
      </c>
      <c r="D70" s="254">
        <v>-30</v>
      </c>
      <c r="E70" s="254"/>
      <c r="F70" s="254"/>
      <c r="G70" s="982"/>
      <c r="H70" s="983"/>
    </row>
    <row r="71" spans="2:8" x14ac:dyDescent="0.25">
      <c r="B71" s="253" t="s">
        <v>335</v>
      </c>
      <c r="C71" s="697">
        <v>1</v>
      </c>
      <c r="D71" s="697">
        <v>1</v>
      </c>
      <c r="E71" s="255"/>
      <c r="F71" s="255"/>
      <c r="G71" s="982"/>
      <c r="H71" s="983"/>
    </row>
    <row r="72" spans="2:8" ht="31.5" customHeight="1" x14ac:dyDescent="0.25">
      <c r="B72" s="253" t="s">
        <v>336</v>
      </c>
      <c r="C72" s="227">
        <v>970</v>
      </c>
      <c r="D72" s="227">
        <v>970</v>
      </c>
      <c r="E72" s="227">
        <v>341</v>
      </c>
      <c r="F72" s="227">
        <v>341</v>
      </c>
      <c r="G72" s="984" t="s">
        <v>634</v>
      </c>
      <c r="H72" s="985"/>
    </row>
    <row r="73" spans="2:8" x14ac:dyDescent="0.25">
      <c r="B73" s="253" t="s">
        <v>337</v>
      </c>
      <c r="C73" s="237">
        <v>71</v>
      </c>
      <c r="D73" s="237">
        <v>71</v>
      </c>
      <c r="E73" s="237">
        <v>70</v>
      </c>
      <c r="F73" s="237">
        <v>70</v>
      </c>
      <c r="G73" s="976"/>
      <c r="H73" s="977"/>
    </row>
    <row r="74" spans="2:8" x14ac:dyDescent="0.25">
      <c r="B74" s="253" t="s">
        <v>338</v>
      </c>
      <c r="C74" s="255">
        <v>1</v>
      </c>
      <c r="D74" s="255">
        <v>1</v>
      </c>
      <c r="E74" s="255">
        <v>0.6</v>
      </c>
      <c r="F74" s="255">
        <v>0.6</v>
      </c>
      <c r="G74" s="976"/>
      <c r="H74" s="977"/>
    </row>
    <row r="75" spans="2:8" ht="32.25" customHeight="1" x14ac:dyDescent="0.25">
      <c r="B75" s="253" t="s">
        <v>339</v>
      </c>
      <c r="C75" s="256">
        <v>86</v>
      </c>
      <c r="D75" s="256">
        <v>86</v>
      </c>
      <c r="E75" s="240">
        <v>48</v>
      </c>
      <c r="F75" s="240">
        <v>48</v>
      </c>
      <c r="G75" s="984" t="s">
        <v>634</v>
      </c>
      <c r="H75" s="985"/>
    </row>
    <row r="76" spans="2:8" x14ac:dyDescent="0.25">
      <c r="B76" s="253" t="s">
        <v>340</v>
      </c>
      <c r="C76" s="227">
        <v>19</v>
      </c>
      <c r="D76" s="227">
        <v>19</v>
      </c>
      <c r="E76" s="227">
        <v>10</v>
      </c>
      <c r="F76" s="227">
        <v>10</v>
      </c>
      <c r="G76" s="978" t="s">
        <v>633</v>
      </c>
      <c r="H76" s="979"/>
    </row>
    <row r="77" spans="2:8" x14ac:dyDescent="0.25">
      <c r="B77" s="253" t="s">
        <v>341</v>
      </c>
      <c r="C77" s="227">
        <v>0.5</v>
      </c>
      <c r="D77" s="227">
        <v>0.5</v>
      </c>
      <c r="E77" s="227">
        <v>0.5</v>
      </c>
      <c r="F77" s="227">
        <v>0.5</v>
      </c>
      <c r="G77" s="978" t="s">
        <v>635</v>
      </c>
      <c r="H77" s="979"/>
    </row>
    <row r="116" ht="44.25" customHeight="1" x14ac:dyDescent="0.25"/>
  </sheetData>
  <mergeCells count="78">
    <mergeCell ref="E13:F13"/>
    <mergeCell ref="B4:B5"/>
    <mergeCell ref="C4:D4"/>
    <mergeCell ref="E4:N4"/>
    <mergeCell ref="E5:F5"/>
    <mergeCell ref="E6:F6"/>
    <mergeCell ref="E7:F7"/>
    <mergeCell ref="E8:F8"/>
    <mergeCell ref="E9:F9"/>
    <mergeCell ref="E10:F10"/>
    <mergeCell ref="E11:F11"/>
    <mergeCell ref="E12:F12"/>
    <mergeCell ref="G36:H36"/>
    <mergeCell ref="G25:H25"/>
    <mergeCell ref="C17:D17"/>
    <mergeCell ref="E17:F17"/>
    <mergeCell ref="G17:H17"/>
    <mergeCell ref="G18:H18"/>
    <mergeCell ref="G19:H19"/>
    <mergeCell ref="G20:H20"/>
    <mergeCell ref="G21:H21"/>
    <mergeCell ref="G22:H22"/>
    <mergeCell ref="G23:H23"/>
    <mergeCell ref="G24:H24"/>
    <mergeCell ref="G31:H31"/>
    <mergeCell ref="G32:H32"/>
    <mergeCell ref="G33:H33"/>
    <mergeCell ref="G34:H34"/>
    <mergeCell ref="G35:H35"/>
    <mergeCell ref="G26:H26"/>
    <mergeCell ref="G27:H27"/>
    <mergeCell ref="G28:H28"/>
    <mergeCell ref="G29:H29"/>
    <mergeCell ref="G30:H30"/>
    <mergeCell ref="G48:H48"/>
    <mergeCell ref="J37:L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37:H37"/>
    <mergeCell ref="J58:K58"/>
    <mergeCell ref="G49:H49"/>
    <mergeCell ref="G50:H50"/>
    <mergeCell ref="G51:H51"/>
    <mergeCell ref="G52:H52"/>
    <mergeCell ref="G53:H53"/>
    <mergeCell ref="J53:K53"/>
    <mergeCell ref="G56:H56"/>
    <mergeCell ref="G57:H57"/>
    <mergeCell ref="G58:H58"/>
    <mergeCell ref="G63:H63"/>
    <mergeCell ref="G64:H64"/>
    <mergeCell ref="G65:H65"/>
    <mergeCell ref="G54:H54"/>
    <mergeCell ref="G55:H55"/>
    <mergeCell ref="G59:H59"/>
    <mergeCell ref="G60:H60"/>
    <mergeCell ref="G61:H61"/>
    <mergeCell ref="G62:H62"/>
    <mergeCell ref="G73:H73"/>
    <mergeCell ref="G74:H74"/>
    <mergeCell ref="G77:H77"/>
    <mergeCell ref="G66:H66"/>
    <mergeCell ref="G67:H67"/>
    <mergeCell ref="G68:H68"/>
    <mergeCell ref="G70:H70"/>
    <mergeCell ref="G71:H71"/>
    <mergeCell ref="G69:H69"/>
    <mergeCell ref="G72:H72"/>
    <mergeCell ref="G75:H75"/>
    <mergeCell ref="G76:H76"/>
  </mergeCells>
  <pageMargins left="0.7" right="0.7" top="0.75" bottom="0.75" header="0.3" footer="0.3"/>
  <pageSetup paperSize="17"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theme="8" tint="0.59999389629810485"/>
  </sheetPr>
  <dimension ref="A2:G50"/>
  <sheetViews>
    <sheetView showGridLines="0" view="pageLayout" zoomScaleNormal="100" workbookViewId="0">
      <selection activeCell="B1" sqref="B1"/>
    </sheetView>
  </sheetViews>
  <sheetFormatPr defaultColWidth="9.140625" defaultRowHeight="15" x14ac:dyDescent="0.25"/>
  <cols>
    <col min="1" max="1" width="9.140625" style="215"/>
    <col min="2" max="2" width="17.7109375" style="215" customWidth="1"/>
    <col min="3" max="3" width="13.42578125" style="215" customWidth="1"/>
    <col min="4" max="4" width="7.85546875" style="215" customWidth="1"/>
    <col min="5" max="5" width="13.7109375" style="215" customWidth="1"/>
    <col min="6" max="16384" width="9.140625" style="215"/>
  </cols>
  <sheetData>
    <row r="2" spans="2:7" ht="15.75" thickBot="1" x14ac:dyDescent="0.3">
      <c r="B2" s="214" t="s">
        <v>637</v>
      </c>
      <c r="C2" s="214"/>
    </row>
    <row r="3" spans="2:7" x14ac:dyDescent="0.25">
      <c r="B3" s="257" t="s">
        <v>342</v>
      </c>
      <c r="C3" s="258" t="s">
        <v>343</v>
      </c>
      <c r="D3" s="259" t="s">
        <v>344</v>
      </c>
      <c r="F3" s="214" t="s">
        <v>345</v>
      </c>
    </row>
    <row r="4" spans="2:7" x14ac:dyDescent="0.25">
      <c r="B4" s="260" t="s">
        <v>346</v>
      </c>
      <c r="C4" s="261">
        <v>0</v>
      </c>
      <c r="D4" s="262"/>
      <c r="F4" s="214" t="s">
        <v>347</v>
      </c>
    </row>
    <row r="5" spans="2:7" x14ac:dyDescent="0.25">
      <c r="B5" s="260" t="s">
        <v>348</v>
      </c>
      <c r="C5" s="261">
        <v>91.147499999999994</v>
      </c>
      <c r="D5" s="262"/>
    </row>
    <row r="6" spans="2:7" x14ac:dyDescent="0.25">
      <c r="B6" s="260" t="s">
        <v>349</v>
      </c>
      <c r="C6" s="261">
        <v>5.8250999999999999</v>
      </c>
      <c r="D6" s="262"/>
    </row>
    <row r="7" spans="2:7" x14ac:dyDescent="0.25">
      <c r="B7" s="260" t="s">
        <v>350</v>
      </c>
      <c r="C7" s="261">
        <v>0</v>
      </c>
      <c r="D7" s="262"/>
      <c r="F7" s="215">
        <v>32</v>
      </c>
      <c r="G7" s="215" t="s">
        <v>351</v>
      </c>
    </row>
    <row r="8" spans="2:7" x14ac:dyDescent="0.25">
      <c r="B8" s="260" t="s">
        <v>352</v>
      </c>
      <c r="C8" s="261">
        <v>1.8872</v>
      </c>
      <c r="D8" s="262"/>
      <c r="F8" s="215">
        <v>34.08</v>
      </c>
      <c r="G8" s="215" t="s">
        <v>353</v>
      </c>
    </row>
    <row r="9" spans="2:7" x14ac:dyDescent="0.25">
      <c r="B9" s="260" t="s">
        <v>354</v>
      </c>
      <c r="C9" s="261">
        <v>0</v>
      </c>
      <c r="D9" s="262"/>
      <c r="F9" s="215">
        <f>F8/F7</f>
        <v>1.0649999999999999</v>
      </c>
    </row>
    <row r="10" spans="2:7" x14ac:dyDescent="0.25">
      <c r="B10" s="260" t="s">
        <v>355</v>
      </c>
      <c r="C10" s="261">
        <f>0.1374+0.2056</f>
        <v>0.34299999999999997</v>
      </c>
      <c r="D10" s="262"/>
    </row>
    <row r="11" spans="2:7" x14ac:dyDescent="0.25">
      <c r="B11" s="260" t="s">
        <v>356</v>
      </c>
      <c r="C11" s="261">
        <v>0</v>
      </c>
      <c r="D11" s="262"/>
      <c r="F11" s="215">
        <v>90</v>
      </c>
      <c r="G11" s="215" t="s">
        <v>357</v>
      </c>
    </row>
    <row r="12" spans="2:7" x14ac:dyDescent="0.25">
      <c r="B12" s="260" t="s">
        <v>358</v>
      </c>
      <c r="C12" s="261">
        <v>0</v>
      </c>
      <c r="D12" s="262"/>
      <c r="F12" s="215">
        <f>F9*F11</f>
        <v>95.85</v>
      </c>
      <c r="G12" s="215" t="s">
        <v>359</v>
      </c>
    </row>
    <row r="13" spans="2:7" x14ac:dyDescent="0.25">
      <c r="B13" s="260" t="s">
        <v>360</v>
      </c>
      <c r="C13" s="261">
        <f>0.0463+0.0443</f>
        <v>9.06E-2</v>
      </c>
      <c r="D13" s="262"/>
    </row>
    <row r="14" spans="2:7" x14ac:dyDescent="0.25">
      <c r="B14" s="260" t="s">
        <v>361</v>
      </c>
      <c r="C14" s="261">
        <v>0</v>
      </c>
      <c r="D14" s="262"/>
    </row>
    <row r="15" spans="2:7" x14ac:dyDescent="0.25">
      <c r="B15" s="260" t="s">
        <v>362</v>
      </c>
      <c r="C15" s="261">
        <f>0.0023</f>
        <v>2.3E-3</v>
      </c>
      <c r="D15" s="262"/>
    </row>
    <row r="16" spans="2:7" x14ac:dyDescent="0.25">
      <c r="B16" s="260" t="s">
        <v>363</v>
      </c>
      <c r="C16" s="261">
        <v>4.1000000000000003E-3</v>
      </c>
      <c r="D16" s="262"/>
    </row>
    <row r="17" spans="2:4" x14ac:dyDescent="0.25">
      <c r="B17" s="260" t="s">
        <v>319</v>
      </c>
      <c r="C17" s="261">
        <v>0</v>
      </c>
      <c r="D17" s="262"/>
    </row>
    <row r="18" spans="2:4" x14ac:dyDescent="0.25">
      <c r="B18" s="260" t="s">
        <v>364</v>
      </c>
      <c r="C18" s="261">
        <v>5.0000000000000001E-3</v>
      </c>
      <c r="D18" s="262"/>
    </row>
    <row r="19" spans="2:4" x14ac:dyDescent="0.25">
      <c r="B19" s="260" t="s">
        <v>365</v>
      </c>
      <c r="C19" s="261">
        <v>0.68720000000000003</v>
      </c>
      <c r="D19" s="262">
        <v>28.013000000000002</v>
      </c>
    </row>
    <row r="20" spans="2:4" x14ac:dyDescent="0.25">
      <c r="B20" s="260" t="s">
        <v>366</v>
      </c>
      <c r="C20" s="261">
        <v>0</v>
      </c>
      <c r="D20" s="262">
        <v>18.02</v>
      </c>
    </row>
    <row r="21" spans="2:4" x14ac:dyDescent="0.25">
      <c r="B21" s="260" t="s">
        <v>367</v>
      </c>
      <c r="C21" s="261">
        <v>1E-3</v>
      </c>
      <c r="D21" s="262">
        <v>32</v>
      </c>
    </row>
    <row r="22" spans="2:4" x14ac:dyDescent="0.25">
      <c r="B22" s="263" t="s">
        <v>368</v>
      </c>
      <c r="C22" s="264">
        <v>1.6000000000000001E-3</v>
      </c>
      <c r="D22" s="265">
        <v>64.066000000000003</v>
      </c>
    </row>
    <row r="23" spans="2:4" x14ac:dyDescent="0.25">
      <c r="B23" s="263" t="s">
        <v>369</v>
      </c>
      <c r="C23" s="264">
        <f>F12/1000000*100</f>
        <v>9.5849999999999998E-3</v>
      </c>
      <c r="D23" s="265">
        <v>64.066000000000003</v>
      </c>
    </row>
    <row r="24" spans="2:4" x14ac:dyDescent="0.25">
      <c r="B24" s="260" t="s">
        <v>69</v>
      </c>
      <c r="C24" s="261">
        <v>0</v>
      </c>
      <c r="D24" s="262"/>
    </row>
    <row r="25" spans="2:4" ht="15.75" thickBot="1" x14ac:dyDescent="0.3">
      <c r="B25" s="266" t="s">
        <v>370</v>
      </c>
      <c r="C25" s="267">
        <v>0</v>
      </c>
      <c r="D25" s="268"/>
    </row>
    <row r="26" spans="2:4" x14ac:dyDescent="0.25">
      <c r="B26" s="269" t="s">
        <v>371</v>
      </c>
      <c r="C26" s="270"/>
      <c r="D26" s="271"/>
    </row>
    <row r="27" spans="2:4" x14ac:dyDescent="0.25">
      <c r="B27" s="272" t="s">
        <v>372</v>
      </c>
      <c r="C27" s="273"/>
      <c r="D27" s="274"/>
    </row>
    <row r="28" spans="2:4" x14ac:dyDescent="0.25">
      <c r="B28" s="272" t="s">
        <v>344</v>
      </c>
      <c r="C28" s="273">
        <v>17.68</v>
      </c>
      <c r="D28" s="274"/>
    </row>
    <row r="29" spans="2:4" x14ac:dyDescent="0.25">
      <c r="B29" s="272" t="s">
        <v>373</v>
      </c>
      <c r="C29" s="261"/>
      <c r="D29" s="262"/>
    </row>
    <row r="30" spans="2:4" x14ac:dyDescent="0.25">
      <c r="B30" s="275" t="s">
        <v>374</v>
      </c>
      <c r="C30" s="273"/>
      <c r="D30" s="274"/>
    </row>
    <row r="31" spans="2:4" x14ac:dyDescent="0.25">
      <c r="B31" s="275" t="s">
        <v>375</v>
      </c>
      <c r="C31" s="273">
        <v>981</v>
      </c>
      <c r="D31" s="274"/>
    </row>
    <row r="32" spans="2:4" x14ac:dyDescent="0.25">
      <c r="B32" s="275" t="s">
        <v>376</v>
      </c>
      <c r="C32" s="273"/>
      <c r="D32" s="274"/>
    </row>
    <row r="33" spans="1:7" x14ac:dyDescent="0.25">
      <c r="B33" s="275" t="s">
        <v>377</v>
      </c>
      <c r="C33" s="273">
        <v>1087</v>
      </c>
      <c r="D33" s="274"/>
    </row>
    <row r="34" spans="1:7" ht="15.75" thickBot="1" x14ac:dyDescent="0.3">
      <c r="B34" s="276" t="s">
        <v>378</v>
      </c>
      <c r="C34" s="267"/>
      <c r="D34" s="277"/>
    </row>
    <row r="35" spans="1:7" x14ac:dyDescent="0.25">
      <c r="A35"/>
      <c r="B35"/>
      <c r="C35"/>
      <c r="D35"/>
      <c r="E35"/>
      <c r="F35"/>
      <c r="G35"/>
    </row>
    <row r="36" spans="1:7" hidden="1" x14ac:dyDescent="0.25">
      <c r="B36" s="278" t="s">
        <v>379</v>
      </c>
      <c r="C36" s="279"/>
      <c r="D36" s="279"/>
      <c r="E36" s="279"/>
      <c r="F36" s="279"/>
      <c r="G36" s="279"/>
    </row>
    <row r="37" spans="1:7" hidden="1" x14ac:dyDescent="0.25"/>
    <row r="38" spans="1:7" x14ac:dyDescent="0.25">
      <c r="A38" s="215" t="s">
        <v>14</v>
      </c>
    </row>
    <row r="39" spans="1:7" ht="14.25" customHeight="1" x14ac:dyDescent="0.25">
      <c r="A39" s="215">
        <v>1</v>
      </c>
      <c r="B39" s="1006" t="s">
        <v>380</v>
      </c>
      <c r="C39" s="1006"/>
      <c r="D39" s="1006"/>
      <c r="E39" s="1006"/>
      <c r="F39" s="1006"/>
      <c r="G39" s="1006"/>
    </row>
    <row r="40" spans="1:7" ht="30" customHeight="1" x14ac:dyDescent="0.25">
      <c r="B40" s="1006"/>
      <c r="C40" s="1006"/>
      <c r="D40" s="1006"/>
      <c r="E40" s="1006"/>
      <c r="F40" s="1006"/>
      <c r="G40" s="1006"/>
    </row>
    <row r="41" spans="1:7" ht="30" customHeight="1" x14ac:dyDescent="0.25">
      <c r="B41" s="280"/>
      <c r="C41" s="280"/>
      <c r="D41" s="280"/>
      <c r="E41" s="280"/>
      <c r="F41" s="280"/>
      <c r="G41" s="280"/>
    </row>
    <row r="42" spans="1:7" ht="15.75" thickBot="1" x14ac:dyDescent="0.3">
      <c r="B42" s="214" t="s">
        <v>636</v>
      </c>
    </row>
    <row r="43" spans="1:7" x14ac:dyDescent="0.25">
      <c r="B43" s="281" t="s">
        <v>381</v>
      </c>
      <c r="C43" s="282">
        <v>15</v>
      </c>
      <c r="D43" s="283" t="s">
        <v>306</v>
      </c>
      <c r="E43" s="283" t="s">
        <v>382</v>
      </c>
      <c r="F43" s="284"/>
    </row>
    <row r="44" spans="1:7" x14ac:dyDescent="0.25">
      <c r="B44" s="285" t="s">
        <v>383</v>
      </c>
      <c r="C44" s="286">
        <v>0.85499999999999998</v>
      </c>
      <c r="D44" s="287"/>
      <c r="E44" s="287" t="s">
        <v>384</v>
      </c>
      <c r="F44" s="288"/>
    </row>
    <row r="45" spans="1:7" x14ac:dyDescent="0.25">
      <c r="B45" s="285" t="s">
        <v>70</v>
      </c>
      <c r="C45" s="286">
        <v>7.1307</v>
      </c>
      <c r="D45" s="287" t="s">
        <v>385</v>
      </c>
      <c r="E45" s="287"/>
      <c r="F45" s="288"/>
    </row>
    <row r="46" spans="1:7" x14ac:dyDescent="0.25">
      <c r="B46" s="285" t="s">
        <v>386</v>
      </c>
      <c r="C46" s="286">
        <v>0.131133573</v>
      </c>
      <c r="D46" s="287" t="s">
        <v>387</v>
      </c>
      <c r="E46" s="287"/>
      <c r="F46" s="288"/>
    </row>
    <row r="47" spans="1:7" x14ac:dyDescent="0.25">
      <c r="B47" s="289" t="s">
        <v>386</v>
      </c>
      <c r="C47" s="290">
        <f>C46*1000000/C45</f>
        <v>18390</v>
      </c>
      <c r="D47" s="291" t="s">
        <v>388</v>
      </c>
      <c r="E47" s="287"/>
      <c r="F47" s="288"/>
    </row>
    <row r="48" spans="1:7" x14ac:dyDescent="0.25">
      <c r="B48" s="285" t="s">
        <v>389</v>
      </c>
      <c r="C48" s="286">
        <v>0.14424693030000002</v>
      </c>
      <c r="D48" s="287" t="s">
        <v>387</v>
      </c>
      <c r="E48" s="287" t="s">
        <v>390</v>
      </c>
      <c r="F48" s="288"/>
    </row>
    <row r="49" spans="2:6" x14ac:dyDescent="0.25">
      <c r="B49" s="289" t="s">
        <v>389</v>
      </c>
      <c r="C49" s="290">
        <f>C48*1000000/C45</f>
        <v>20229</v>
      </c>
      <c r="D49" s="291" t="s">
        <v>388</v>
      </c>
      <c r="E49" s="287"/>
      <c r="F49" s="288"/>
    </row>
    <row r="50" spans="2:6" ht="15.75" thickBot="1" x14ac:dyDescent="0.3">
      <c r="B50" s="292" t="s">
        <v>391</v>
      </c>
      <c r="C50" s="293">
        <v>2.0133741176470588E-4</v>
      </c>
      <c r="D50" s="293"/>
      <c r="E50" s="294"/>
      <c r="F50" s="295"/>
    </row>
  </sheetData>
  <mergeCells count="1">
    <mergeCell ref="B39:G40"/>
  </mergeCells>
  <pageMargins left="0.7" right="0.7" top="0.75" bottom="0.75" header="0.3" footer="0.3"/>
  <pageSetup scale="85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112"/>
  <sheetViews>
    <sheetView zoomScale="80" zoomScaleNormal="80" workbookViewId="0">
      <selection activeCell="B149" sqref="B149"/>
    </sheetView>
  </sheetViews>
  <sheetFormatPr defaultColWidth="9.140625" defaultRowHeight="12.75" x14ac:dyDescent="0.2"/>
  <cols>
    <col min="1" max="1" width="29.85546875" style="21" customWidth="1"/>
    <col min="2" max="3" width="12.7109375" style="22" customWidth="1"/>
    <col min="4" max="4" width="25" style="22" bestFit="1" customWidth="1"/>
    <col min="5" max="5" width="18.7109375" style="22" bestFit="1" customWidth="1"/>
    <col min="6" max="6" width="12.7109375" style="21" customWidth="1"/>
    <col min="7" max="7" width="20.7109375" style="31" customWidth="1"/>
    <col min="8" max="8" width="12.7109375" style="21" customWidth="1"/>
    <col min="9" max="16384" width="9.140625" style="21"/>
  </cols>
  <sheetData>
    <row r="1" spans="1:13" ht="13.5" thickBot="1" x14ac:dyDescent="0.25"/>
    <row r="2" spans="1:13" x14ac:dyDescent="0.2">
      <c r="D2" s="23" t="s">
        <v>105</v>
      </c>
      <c r="E2" s="62"/>
      <c r="F2" s="85"/>
      <c r="G2" s="92" t="s">
        <v>69</v>
      </c>
    </row>
    <row r="3" spans="1:13" x14ac:dyDescent="0.2">
      <c r="A3" s="97" t="s">
        <v>52</v>
      </c>
      <c r="B3" s="98" t="s">
        <v>53</v>
      </c>
      <c r="C3" s="99">
        <f>45+50</f>
        <v>95</v>
      </c>
      <c r="D3" s="25">
        <f>C3*10^3/1020</f>
        <v>93.137254901960787</v>
      </c>
      <c r="E3" s="86" t="s">
        <v>101</v>
      </c>
      <c r="F3" s="7"/>
      <c r="G3" s="93">
        <v>0.29399999999999998</v>
      </c>
      <c r="I3" s="134" t="s">
        <v>135</v>
      </c>
      <c r="J3" s="134"/>
      <c r="K3" s="134"/>
      <c r="L3" s="134"/>
      <c r="M3" s="134"/>
    </row>
    <row r="4" spans="1:13" x14ac:dyDescent="0.2">
      <c r="A4" s="97" t="s">
        <v>54</v>
      </c>
      <c r="B4" s="99"/>
      <c r="C4" s="100">
        <v>0.5</v>
      </c>
      <c r="E4" s="87" t="s">
        <v>102</v>
      </c>
      <c r="F4" s="9"/>
      <c r="G4" s="135">
        <v>0.19500000000000001</v>
      </c>
      <c r="I4" s="134" t="s">
        <v>136</v>
      </c>
      <c r="J4" s="134"/>
      <c r="K4" s="134"/>
      <c r="L4" s="134"/>
      <c r="M4" s="134"/>
    </row>
    <row r="5" spans="1:13" x14ac:dyDescent="0.2">
      <c r="A5" s="101" t="s">
        <v>59</v>
      </c>
      <c r="B5" s="102"/>
      <c r="C5" s="103">
        <f>(((2*C12)+0.7)*C4)/C12</f>
        <v>4.9325842696629207</v>
      </c>
      <c r="D5" s="26"/>
      <c r="E5" s="88" t="s">
        <v>70</v>
      </c>
      <c r="F5" s="89" t="s">
        <v>64</v>
      </c>
      <c r="G5" s="95">
        <v>56</v>
      </c>
      <c r="I5" s="134"/>
      <c r="J5" s="134"/>
      <c r="K5" s="134"/>
      <c r="L5" s="134"/>
      <c r="M5" s="134"/>
    </row>
    <row r="6" spans="1:13" x14ac:dyDescent="0.2">
      <c r="A6" s="101" t="s">
        <v>60</v>
      </c>
      <c r="B6" s="102"/>
      <c r="C6" s="104">
        <f>C4/C5</f>
        <v>0.10136674259681094</v>
      </c>
      <c r="D6" s="26"/>
      <c r="E6" s="88" t="s">
        <v>142</v>
      </c>
      <c r="F6" s="89"/>
      <c r="G6" s="95">
        <v>1</v>
      </c>
    </row>
    <row r="7" spans="1:13" x14ac:dyDescent="0.2">
      <c r="A7" s="101" t="s">
        <v>61</v>
      </c>
      <c r="B7" s="105" t="s">
        <v>12</v>
      </c>
      <c r="C7" s="103">
        <f>(C12*C3*C4*C5*G7)/(G6*46.01)</f>
        <v>7.7364089328406873</v>
      </c>
      <c r="D7" s="26"/>
      <c r="E7" s="88" t="s">
        <v>71</v>
      </c>
      <c r="F7" s="89" t="s">
        <v>72</v>
      </c>
      <c r="G7" s="95">
        <v>17.07</v>
      </c>
    </row>
    <row r="8" spans="1:13" ht="13.5" thickBot="1" x14ac:dyDescent="0.25">
      <c r="A8" s="101" t="s">
        <v>62</v>
      </c>
      <c r="B8" s="105" t="s">
        <v>12</v>
      </c>
      <c r="C8" s="103">
        <f>C7/G3</f>
        <v>26.314316098097578</v>
      </c>
      <c r="D8" s="26"/>
      <c r="E8" s="90" t="s">
        <v>89</v>
      </c>
      <c r="F8" s="91" t="s">
        <v>90</v>
      </c>
      <c r="G8" s="96">
        <v>0.85</v>
      </c>
    </row>
    <row r="9" spans="1:13" x14ac:dyDescent="0.2">
      <c r="A9" s="101" t="s">
        <v>63</v>
      </c>
      <c r="B9" s="105" t="s">
        <v>65</v>
      </c>
      <c r="C9" s="103">
        <f>C8*$G$10/G5</f>
        <v>3.5150757423539098</v>
      </c>
      <c r="D9" s="26"/>
    </row>
    <row r="10" spans="1:13" x14ac:dyDescent="0.2">
      <c r="A10" s="101" t="s">
        <v>67</v>
      </c>
      <c r="B10" s="105" t="s">
        <v>66</v>
      </c>
      <c r="C10" s="103">
        <f>C9*14*24</f>
        <v>1181.0654494309138</v>
      </c>
      <c r="D10" s="26"/>
      <c r="E10" s="28" t="s">
        <v>73</v>
      </c>
      <c r="G10" s="31">
        <v>7.4805000000000001</v>
      </c>
    </row>
    <row r="11" spans="1:13" x14ac:dyDescent="0.2">
      <c r="A11" s="27"/>
      <c r="B11" s="29"/>
      <c r="C11" s="30"/>
      <c r="D11" s="26"/>
    </row>
    <row r="12" spans="1:13" x14ac:dyDescent="0.2">
      <c r="A12" s="101" t="s">
        <v>137</v>
      </c>
      <c r="B12" s="105" t="s">
        <v>113</v>
      </c>
      <c r="C12" s="107">
        <v>8.8999999999999996E-2</v>
      </c>
      <c r="D12" s="26"/>
      <c r="E12" s="23" t="s">
        <v>103</v>
      </c>
      <c r="F12" s="24" t="s">
        <v>90</v>
      </c>
      <c r="G12" s="32">
        <v>4.0000000000000002E-4</v>
      </c>
    </row>
    <row r="13" spans="1:13" x14ac:dyDescent="0.2">
      <c r="A13" s="101" t="s">
        <v>114</v>
      </c>
      <c r="B13" s="105" t="s">
        <v>115</v>
      </c>
      <c r="C13" s="103">
        <v>20</v>
      </c>
      <c r="D13" s="26"/>
      <c r="E13" s="23"/>
      <c r="F13" s="24"/>
      <c r="G13" s="32"/>
      <c r="I13" s="24" t="s">
        <v>141</v>
      </c>
    </row>
    <row r="14" spans="1:13" x14ac:dyDescent="0.2">
      <c r="A14" s="101" t="s">
        <v>114</v>
      </c>
      <c r="B14" s="105" t="s">
        <v>113</v>
      </c>
      <c r="C14" s="106">
        <f>(C13/10^6)*8710*(20.9/(20.9-3))*(46.01/385)</f>
        <v>2.4307086671987232E-2</v>
      </c>
      <c r="D14" s="26"/>
      <c r="E14" s="23" t="s">
        <v>139</v>
      </c>
      <c r="F14" s="24" t="s">
        <v>140</v>
      </c>
      <c r="G14" s="136">
        <f>(73*4)/((C3/1020)*8760)*(4913/8760)</f>
        <v>0.20072338380197069</v>
      </c>
    </row>
    <row r="15" spans="1:13" x14ac:dyDescent="0.2">
      <c r="A15" s="27"/>
      <c r="B15" s="29"/>
      <c r="C15" s="30"/>
      <c r="D15" s="26"/>
      <c r="E15" s="23"/>
      <c r="F15" s="24"/>
      <c r="G15" s="32"/>
    </row>
    <row r="16" spans="1:13" x14ac:dyDescent="0.2">
      <c r="A16" s="27"/>
      <c r="B16" s="29"/>
      <c r="C16" s="30"/>
      <c r="D16" s="26"/>
      <c r="E16" s="23"/>
      <c r="F16" s="24"/>
      <c r="G16" s="32"/>
    </row>
    <row r="17" spans="1:7" ht="13.5" thickBot="1" x14ac:dyDescent="0.25">
      <c r="A17" s="108" t="s">
        <v>116</v>
      </c>
      <c r="B17" s="109"/>
      <c r="C17" s="110" t="s">
        <v>13</v>
      </c>
      <c r="D17" s="109" t="s">
        <v>42</v>
      </c>
      <c r="E17" s="111"/>
      <c r="F17" s="24"/>
      <c r="G17" s="32"/>
    </row>
    <row r="18" spans="1:7" x14ac:dyDescent="0.2">
      <c r="A18" s="33" t="s">
        <v>74</v>
      </c>
      <c r="B18" s="29"/>
      <c r="C18" s="34">
        <f>(950*C3*(2375/C3)^0.577)*(0.66+0.85*C4)</f>
        <v>627318.84440745274</v>
      </c>
      <c r="D18" s="29" t="s">
        <v>1</v>
      </c>
    </row>
    <row r="19" spans="1:7" x14ac:dyDescent="0.2">
      <c r="A19" s="27"/>
      <c r="B19" s="29"/>
      <c r="C19" s="35"/>
      <c r="D19" s="26"/>
    </row>
    <row r="20" spans="1:7" ht="13.5" thickBot="1" x14ac:dyDescent="0.25">
      <c r="A20" s="108" t="s">
        <v>75</v>
      </c>
      <c r="B20" s="118"/>
      <c r="C20" s="119"/>
      <c r="D20" s="120"/>
      <c r="E20" s="121"/>
    </row>
    <row r="21" spans="1:7" x14ac:dyDescent="0.2">
      <c r="A21" s="36" t="s">
        <v>55</v>
      </c>
      <c r="B21" s="29"/>
      <c r="C21" s="37">
        <f>C18*0.05</f>
        <v>31365.942220372639</v>
      </c>
      <c r="D21" s="24" t="s">
        <v>2</v>
      </c>
    </row>
    <row r="22" spans="1:7" x14ac:dyDescent="0.2">
      <c r="A22" s="36" t="s">
        <v>56</v>
      </c>
      <c r="B22" s="29"/>
      <c r="C22" s="37">
        <f>C18*0.1</f>
        <v>62731.884440745278</v>
      </c>
      <c r="D22" s="24" t="s">
        <v>57</v>
      </c>
    </row>
    <row r="23" spans="1:7" x14ac:dyDescent="0.2">
      <c r="A23" s="36" t="s">
        <v>58</v>
      </c>
      <c r="B23" s="29"/>
      <c r="C23" s="37">
        <f>C18*0.05</f>
        <v>31365.942220372639</v>
      </c>
      <c r="D23" s="24" t="s">
        <v>2</v>
      </c>
    </row>
    <row r="24" spans="1:7" x14ac:dyDescent="0.2">
      <c r="A24" s="967" t="s">
        <v>76</v>
      </c>
      <c r="B24" s="967"/>
      <c r="C24" s="34">
        <f>SUM(C21:C23)</f>
        <v>125463.76888149056</v>
      </c>
      <c r="D24" s="29" t="s">
        <v>79</v>
      </c>
    </row>
    <row r="25" spans="1:7" x14ac:dyDescent="0.2">
      <c r="A25" s="27"/>
      <c r="B25" s="29"/>
      <c r="C25" s="35"/>
      <c r="D25" s="26"/>
    </row>
    <row r="26" spans="1:7" x14ac:dyDescent="0.2">
      <c r="A26" s="27" t="s">
        <v>77</v>
      </c>
      <c r="B26" s="29"/>
      <c r="C26" s="35">
        <f>0.15*(C18+C24)</f>
        <v>112917.39199334149</v>
      </c>
      <c r="D26" s="29" t="s">
        <v>78</v>
      </c>
    </row>
    <row r="27" spans="1:7" x14ac:dyDescent="0.2">
      <c r="A27" s="27" t="s">
        <v>80</v>
      </c>
      <c r="B27" s="29"/>
      <c r="C27" s="35">
        <f>C18+C24+C26</f>
        <v>865700.00528228481</v>
      </c>
      <c r="D27" s="29" t="s">
        <v>81</v>
      </c>
    </row>
    <row r="28" spans="1:7" x14ac:dyDescent="0.2">
      <c r="A28" s="27" t="s">
        <v>82</v>
      </c>
      <c r="B28" s="29"/>
      <c r="C28" s="35">
        <v>0</v>
      </c>
      <c r="D28" s="29" t="s">
        <v>83</v>
      </c>
    </row>
    <row r="29" spans="1:7" x14ac:dyDescent="0.2">
      <c r="A29" s="27" t="s">
        <v>84</v>
      </c>
      <c r="B29" s="29"/>
      <c r="C29" s="35">
        <v>0</v>
      </c>
      <c r="D29" s="29" t="s">
        <v>85</v>
      </c>
    </row>
    <row r="30" spans="1:7" x14ac:dyDescent="0.2">
      <c r="A30" s="27" t="s">
        <v>86</v>
      </c>
      <c r="B30" s="29"/>
      <c r="C30" s="133">
        <f>0.02*(C27+C28)</f>
        <v>17314.000105645697</v>
      </c>
      <c r="D30" s="29" t="s">
        <v>87</v>
      </c>
    </row>
    <row r="31" spans="1:7" x14ac:dyDescent="0.2">
      <c r="A31" s="27" t="s">
        <v>88</v>
      </c>
      <c r="B31" s="29"/>
      <c r="C31" s="35">
        <f>$G$8*C10</f>
        <v>1003.9056320162766</v>
      </c>
      <c r="D31" s="29" t="s">
        <v>91</v>
      </c>
      <c r="F31" s="24" t="s">
        <v>92</v>
      </c>
    </row>
    <row r="32" spans="1:7" x14ac:dyDescent="0.2">
      <c r="A32" s="27" t="s">
        <v>93</v>
      </c>
      <c r="B32" s="29"/>
      <c r="C32" s="35">
        <v>0</v>
      </c>
      <c r="D32" s="29" t="s">
        <v>94</v>
      </c>
      <c r="F32" s="24"/>
    </row>
    <row r="33" spans="1:5" x14ac:dyDescent="0.2">
      <c r="A33" s="38" t="s">
        <v>43</v>
      </c>
      <c r="B33" s="39"/>
      <c r="C33" s="40">
        <f>C27+C28+C29+C30+C31+C32</f>
        <v>884017.9110199468</v>
      </c>
      <c r="D33" s="41" t="s">
        <v>95</v>
      </c>
      <c r="E33" s="42"/>
    </row>
    <row r="34" spans="1:5" x14ac:dyDescent="0.2">
      <c r="A34" s="27"/>
      <c r="B34" s="29"/>
      <c r="C34" s="35"/>
      <c r="D34" s="26"/>
    </row>
    <row r="35" spans="1:5" x14ac:dyDescent="0.2">
      <c r="A35" s="27"/>
      <c r="B35" s="29"/>
      <c r="C35" s="35"/>
      <c r="D35" s="26"/>
    </row>
    <row r="36" spans="1:5" ht="13.5" thickBot="1" x14ac:dyDescent="0.25">
      <c r="A36" s="108" t="s">
        <v>96</v>
      </c>
      <c r="B36" s="118"/>
      <c r="C36" s="119"/>
      <c r="D36" s="120"/>
      <c r="E36" s="121"/>
    </row>
    <row r="37" spans="1:5" x14ac:dyDescent="0.2">
      <c r="A37" s="27" t="s">
        <v>97</v>
      </c>
      <c r="B37" s="29"/>
      <c r="C37" s="35">
        <f>C33*0.015</f>
        <v>13260.268665299202</v>
      </c>
      <c r="D37" s="29" t="s">
        <v>98</v>
      </c>
    </row>
    <row r="38" spans="1:5" x14ac:dyDescent="0.2">
      <c r="A38" s="27" t="s">
        <v>99</v>
      </c>
      <c r="B38" s="29"/>
      <c r="C38" s="35">
        <f>G8*C9*8760</f>
        <v>26173.253977567208</v>
      </c>
      <c r="D38" s="26"/>
    </row>
    <row r="39" spans="1:5" x14ac:dyDescent="0.2">
      <c r="A39" s="27" t="s">
        <v>9</v>
      </c>
      <c r="B39" s="29"/>
      <c r="C39" s="35"/>
      <c r="D39" s="26"/>
    </row>
    <row r="40" spans="1:5" x14ac:dyDescent="0.2">
      <c r="A40" s="36" t="s">
        <v>0</v>
      </c>
      <c r="B40" s="29"/>
      <c r="C40" s="35">
        <f>((0.47*C12*C5*C3)/9.5)*0.1088*8760</f>
        <v>1966.5064703999994</v>
      </c>
      <c r="D40" s="26"/>
    </row>
    <row r="41" spans="1:5" x14ac:dyDescent="0.2">
      <c r="A41" s="27" t="s">
        <v>100</v>
      </c>
      <c r="B41" s="29"/>
      <c r="C41" s="35">
        <f>(C8/8.345)*((G3/G4)-1)*8760*G12</f>
        <v>5.6095810463293896</v>
      </c>
      <c r="D41" s="26"/>
    </row>
    <row r="42" spans="1:5" x14ac:dyDescent="0.2">
      <c r="A42" s="27" t="s">
        <v>10</v>
      </c>
      <c r="B42" s="29"/>
      <c r="C42" s="158">
        <f>(1020*C7/G5)*((1/G4)-1)*C112</f>
        <v>4.0967426149171853E-3</v>
      </c>
      <c r="D42" s="156" t="s">
        <v>149</v>
      </c>
    </row>
    <row r="43" spans="1:5" x14ac:dyDescent="0.2">
      <c r="A43" s="27" t="s">
        <v>3</v>
      </c>
      <c r="B43" s="29"/>
      <c r="C43" s="35">
        <f>C62</f>
        <v>6640.0425000000005</v>
      </c>
      <c r="D43" s="26"/>
    </row>
    <row r="44" spans="1:5" x14ac:dyDescent="0.2">
      <c r="A44" s="38" t="s">
        <v>104</v>
      </c>
      <c r="B44" s="39"/>
      <c r="C44" s="40">
        <f>SUM(C37:C43)</f>
        <v>48045.685291055357</v>
      </c>
      <c r="D44" s="115"/>
      <c r="E44" s="42"/>
    </row>
    <row r="45" spans="1:5" x14ac:dyDescent="0.2">
      <c r="A45" s="27"/>
      <c r="B45" s="29"/>
      <c r="C45" s="35"/>
      <c r="D45" s="26"/>
    </row>
    <row r="46" spans="1:5" x14ac:dyDescent="0.2">
      <c r="A46" s="27" t="s">
        <v>122</v>
      </c>
      <c r="B46" s="29"/>
      <c r="C46" s="43">
        <f>D79</f>
        <v>0.14237750272736471</v>
      </c>
      <c r="D46" s="26"/>
    </row>
    <row r="47" spans="1:5" x14ac:dyDescent="0.2">
      <c r="A47" s="38" t="s">
        <v>106</v>
      </c>
      <c r="B47" s="39"/>
      <c r="C47" s="40">
        <f>C46*C33</f>
        <v>125864.26253728173</v>
      </c>
      <c r="D47" s="116" t="s">
        <v>107</v>
      </c>
      <c r="E47" s="42"/>
    </row>
    <row r="48" spans="1:5" x14ac:dyDescent="0.2">
      <c r="A48" s="27"/>
      <c r="B48" s="29"/>
      <c r="C48" s="35"/>
      <c r="D48" s="26"/>
    </row>
    <row r="49" spans="1:14" x14ac:dyDescent="0.2">
      <c r="A49" s="38" t="s">
        <v>108</v>
      </c>
      <c r="B49" s="39"/>
      <c r="C49" s="44">
        <f>C47+C44</f>
        <v>173909.94782833708</v>
      </c>
      <c r="D49" s="117" t="s">
        <v>109</v>
      </c>
      <c r="E49" s="42"/>
    </row>
    <row r="50" spans="1:14" x14ac:dyDescent="0.2">
      <c r="A50" s="27"/>
      <c r="B50" s="29"/>
      <c r="C50" s="35"/>
      <c r="D50" s="26"/>
    </row>
    <row r="51" spans="1:14" x14ac:dyDescent="0.2">
      <c r="A51" s="24" t="s">
        <v>117</v>
      </c>
      <c r="B51" s="24" t="s">
        <v>118</v>
      </c>
      <c r="C51" s="25">
        <f>C12*C3*8760/2000</f>
        <v>37.032899999999998</v>
      </c>
      <c r="D51" s="24"/>
    </row>
    <row r="52" spans="1:14" ht="12.75" customHeight="1" x14ac:dyDescent="0.2">
      <c r="A52" s="27" t="s">
        <v>111</v>
      </c>
      <c r="B52" s="24" t="s">
        <v>118</v>
      </c>
      <c r="C52" s="30">
        <f>(C12*C4*C3*8760)/2000</f>
        <v>18.516449999999999</v>
      </c>
      <c r="D52" s="969" t="s">
        <v>138</v>
      </c>
      <c r="E52" s="969"/>
      <c r="F52" s="969"/>
      <c r="G52" s="137"/>
    </row>
    <row r="53" spans="1:14" ht="13.5" thickBot="1" x14ac:dyDescent="0.25">
      <c r="A53" s="45"/>
      <c r="B53" s="26"/>
      <c r="C53" s="35"/>
      <c r="D53" s="969"/>
      <c r="E53" s="969"/>
      <c r="F53" s="969"/>
      <c r="G53" s="137"/>
    </row>
    <row r="54" spans="1:14" ht="13.5" thickBot="1" x14ac:dyDescent="0.25">
      <c r="A54" s="112" t="s">
        <v>119</v>
      </c>
      <c r="B54" s="142" t="s">
        <v>120</v>
      </c>
      <c r="C54" s="139">
        <f>C49/C52</f>
        <v>9392.1862899387888</v>
      </c>
      <c r="D54" s="969"/>
      <c r="E54" s="969"/>
      <c r="F54" s="969"/>
      <c r="G54" s="137"/>
    </row>
    <row r="55" spans="1:14" s="1" customFormat="1" x14ac:dyDescent="0.2">
      <c r="A55" s="3"/>
      <c r="B55" s="143"/>
      <c r="C55" s="140"/>
      <c r="D55" s="138"/>
      <c r="E55" s="2"/>
      <c r="F55" s="12"/>
      <c r="G55" s="16"/>
      <c r="H55" s="7"/>
      <c r="I55" s="7"/>
      <c r="J55" s="13"/>
      <c r="K55" s="9"/>
      <c r="L55" s="10"/>
      <c r="M55" s="11"/>
    </row>
    <row r="56" spans="1:14" s="1" customFormat="1" ht="13.5" thickBot="1" x14ac:dyDescent="0.25">
      <c r="A56" s="4" t="s">
        <v>41</v>
      </c>
      <c r="B56" s="144" t="s">
        <v>120</v>
      </c>
      <c r="C56" s="141">
        <v>25702</v>
      </c>
      <c r="D56" s="138"/>
      <c r="E56" s="2"/>
      <c r="F56" s="14"/>
      <c r="G56" s="7"/>
      <c r="H56" s="7"/>
      <c r="I56" s="7"/>
      <c r="J56" s="8"/>
      <c r="K56" s="9"/>
      <c r="L56" s="10"/>
      <c r="M56" s="11"/>
    </row>
    <row r="57" spans="1:14" s="1" customFormat="1" x14ac:dyDescent="0.2">
      <c r="B57" s="5"/>
      <c r="D57" s="2"/>
      <c r="E57" s="17"/>
      <c r="G57" s="15"/>
      <c r="H57" s="7"/>
      <c r="I57" s="7"/>
      <c r="J57" s="7"/>
      <c r="K57" s="8"/>
      <c r="L57" s="9"/>
      <c r="M57" s="10"/>
      <c r="N57" s="11"/>
    </row>
    <row r="58" spans="1:14" x14ac:dyDescent="0.2">
      <c r="A58" s="45"/>
      <c r="B58" s="26"/>
      <c r="C58" s="35"/>
      <c r="D58" s="26"/>
    </row>
    <row r="59" spans="1:14" x14ac:dyDescent="0.2">
      <c r="A59" s="33" t="s">
        <v>143</v>
      </c>
      <c r="B59" s="26"/>
      <c r="C59" s="35"/>
      <c r="D59" s="26"/>
      <c r="F59" s="155" t="s">
        <v>146</v>
      </c>
    </row>
    <row r="60" spans="1:14" x14ac:dyDescent="0.2">
      <c r="A60" s="27" t="s">
        <v>4</v>
      </c>
      <c r="B60" s="26"/>
      <c r="C60" s="35">
        <f>(0.5*7)*F61*52</f>
        <v>5773.9500000000007</v>
      </c>
      <c r="D60" s="29" t="s">
        <v>6</v>
      </c>
      <c r="F60" s="154">
        <v>1269</v>
      </c>
      <c r="G60" s="153" t="s">
        <v>144</v>
      </c>
    </row>
    <row r="61" spans="1:14" x14ac:dyDescent="0.2">
      <c r="A61" s="27" t="s">
        <v>5</v>
      </c>
      <c r="B61" s="26"/>
      <c r="C61" s="35">
        <f>C60*0.15</f>
        <v>866.09250000000009</v>
      </c>
      <c r="D61" s="29" t="s">
        <v>7</v>
      </c>
      <c r="F61" s="154">
        <f>F60/40</f>
        <v>31.725000000000001</v>
      </c>
      <c r="G61" s="153" t="s">
        <v>145</v>
      </c>
    </row>
    <row r="62" spans="1:14" x14ac:dyDescent="0.2">
      <c r="A62" s="45"/>
      <c r="B62" s="26"/>
      <c r="C62" s="40">
        <f>SUM(C60:C61)</f>
        <v>6640.0425000000005</v>
      </c>
      <c r="D62" s="41"/>
    </row>
    <row r="63" spans="1:14" x14ac:dyDescent="0.2">
      <c r="A63" s="45"/>
      <c r="B63" s="26"/>
      <c r="C63" s="35"/>
      <c r="D63" s="26"/>
    </row>
    <row r="64" spans="1:14" x14ac:dyDescent="0.2">
      <c r="A64" s="45"/>
      <c r="B64" s="26"/>
      <c r="C64" s="35"/>
      <c r="D64" s="26"/>
    </row>
    <row r="65" spans="1:5" x14ac:dyDescent="0.2">
      <c r="A65" s="45"/>
      <c r="B65" s="26"/>
      <c r="C65" s="35"/>
      <c r="D65" s="26"/>
    </row>
    <row r="66" spans="1:5" x14ac:dyDescent="0.2">
      <c r="A66" s="27" t="s">
        <v>110</v>
      </c>
      <c r="B66" s="26"/>
      <c r="C66" s="35"/>
      <c r="D66" s="26"/>
    </row>
    <row r="67" spans="1:5" ht="13.5" thickBot="1" x14ac:dyDescent="0.25">
      <c r="A67" s="45"/>
      <c r="B67" s="26"/>
      <c r="C67" s="26"/>
      <c r="D67" s="26"/>
    </row>
    <row r="68" spans="1:5" ht="39" customHeight="1" thickBot="1" x14ac:dyDescent="0.25">
      <c r="A68" s="46"/>
      <c r="B68" s="47" t="s">
        <v>26</v>
      </c>
      <c r="C68" s="122" t="s">
        <v>29</v>
      </c>
      <c r="D68" s="130" t="s">
        <v>30</v>
      </c>
      <c r="E68" s="131"/>
    </row>
    <row r="69" spans="1:5" x14ac:dyDescent="0.2">
      <c r="A69" s="49" t="s">
        <v>15</v>
      </c>
      <c r="B69" s="9"/>
      <c r="C69" s="50">
        <f>C33</f>
        <v>884017.9110199468</v>
      </c>
      <c r="D69" s="51"/>
      <c r="E69" s="52"/>
    </row>
    <row r="70" spans="1:5" x14ac:dyDescent="0.2">
      <c r="A70" s="49" t="s">
        <v>16</v>
      </c>
      <c r="B70" s="53">
        <f>1/(1+7%)^E70</f>
        <v>0.93457943925233644</v>
      </c>
      <c r="C70" s="50">
        <f>C69*B70</f>
        <v>826184.96357004368</v>
      </c>
      <c r="D70" s="54">
        <f>7%/(1-(1+7%)^-E70)</f>
        <v>1.07</v>
      </c>
      <c r="E70" s="52">
        <v>1</v>
      </c>
    </row>
    <row r="71" spans="1:5" x14ac:dyDescent="0.2">
      <c r="A71" s="49" t="s">
        <v>17</v>
      </c>
      <c r="B71" s="53">
        <f>1/(1+7%)^E71</f>
        <v>0.87343872827321156</v>
      </c>
      <c r="C71" s="50">
        <f t="shared" ref="C71:C79" si="0">C70*B71</f>
        <v>721621.94389906852</v>
      </c>
      <c r="D71" s="54">
        <f t="shared" ref="D71:D79" si="1">7%/(1-(1+7%)^-E71)</f>
        <v>0.55309178743961329</v>
      </c>
      <c r="E71" s="52">
        <v>2</v>
      </c>
    </row>
    <row r="72" spans="1:5" x14ac:dyDescent="0.2">
      <c r="A72" s="49" t="s">
        <v>18</v>
      </c>
      <c r="B72" s="53">
        <f>1/(1+7%)^E72</f>
        <v>0.81629787689085187</v>
      </c>
      <c r="C72" s="50">
        <f t="shared" si="0"/>
        <v>589058.46072265902</v>
      </c>
      <c r="D72" s="54">
        <f t="shared" si="1"/>
        <v>0.38105166568166948</v>
      </c>
      <c r="E72" s="52">
        <v>3</v>
      </c>
    </row>
    <row r="73" spans="1:5" x14ac:dyDescent="0.2">
      <c r="A73" s="49" t="s">
        <v>19</v>
      </c>
      <c r="B73" s="53">
        <f t="shared" ref="B73:B79" si="2">1/(1+7%)^E73</f>
        <v>0.7628952120475252</v>
      </c>
      <c r="C73" s="50">
        <f t="shared" si="0"/>
        <v>449389.87930140173</v>
      </c>
      <c r="D73" s="54">
        <f t="shared" si="1"/>
        <v>0.29522811666726351</v>
      </c>
      <c r="E73" s="52">
        <v>4</v>
      </c>
    </row>
    <row r="74" spans="1:5" x14ac:dyDescent="0.2">
      <c r="A74" s="49" t="s">
        <v>20</v>
      </c>
      <c r="B74" s="53">
        <f t="shared" si="2"/>
        <v>0.71298617948366838</v>
      </c>
      <c r="C74" s="50">
        <f t="shared" si="0"/>
        <v>320408.77314173325</v>
      </c>
      <c r="D74" s="54">
        <f t="shared" si="1"/>
        <v>0.24389069444137404</v>
      </c>
      <c r="E74" s="52">
        <v>5</v>
      </c>
    </row>
    <row r="75" spans="1:5" x14ac:dyDescent="0.2">
      <c r="A75" s="49" t="s">
        <v>21</v>
      </c>
      <c r="B75" s="53">
        <f t="shared" si="2"/>
        <v>0.66634222381651254</v>
      </c>
      <c r="C75" s="50">
        <f t="shared" si="0"/>
        <v>213501.89442558301</v>
      </c>
      <c r="D75" s="54">
        <f t="shared" si="1"/>
        <v>0.20979579975832816</v>
      </c>
      <c r="E75" s="52">
        <v>6</v>
      </c>
    </row>
    <row r="76" spans="1:5" x14ac:dyDescent="0.2">
      <c r="A76" s="49" t="s">
        <v>22</v>
      </c>
      <c r="B76" s="53">
        <f t="shared" si="2"/>
        <v>0.62274974188459109</v>
      </c>
      <c r="C76" s="50">
        <f t="shared" si="0"/>
        <v>132958.24964540303</v>
      </c>
      <c r="D76" s="54">
        <f t="shared" si="1"/>
        <v>0.18555321963115931</v>
      </c>
      <c r="E76" s="52">
        <v>7</v>
      </c>
    </row>
    <row r="77" spans="1:5" x14ac:dyDescent="0.2">
      <c r="A77" s="49" t="s">
        <v>23</v>
      </c>
      <c r="B77" s="53">
        <f t="shared" si="2"/>
        <v>0.5820091045650384</v>
      </c>
      <c r="C77" s="50">
        <f t="shared" si="0"/>
        <v>77382.911820655849</v>
      </c>
      <c r="D77" s="54">
        <f t="shared" si="1"/>
        <v>0.16746776249075465</v>
      </c>
      <c r="E77" s="52">
        <v>8</v>
      </c>
    </row>
    <row r="78" spans="1:5" x14ac:dyDescent="0.2">
      <c r="A78" s="49" t="s">
        <v>24</v>
      </c>
      <c r="B78" s="53">
        <f t="shared" si="2"/>
        <v>0.54393374258414806</v>
      </c>
      <c r="C78" s="50">
        <f t="shared" si="0"/>
        <v>42091.176838668449</v>
      </c>
      <c r="D78" s="54">
        <f t="shared" si="1"/>
        <v>0.15348647013842193</v>
      </c>
      <c r="E78" s="52">
        <v>9</v>
      </c>
    </row>
    <row r="79" spans="1:5" ht="13.5" customHeight="1" thickBot="1" x14ac:dyDescent="0.25">
      <c r="A79" s="55" t="s">
        <v>25</v>
      </c>
      <c r="B79" s="56">
        <f t="shared" si="2"/>
        <v>0.5083492921347178</v>
      </c>
      <c r="C79" s="57">
        <f t="shared" si="0"/>
        <v>21397.019951054335</v>
      </c>
      <c r="D79" s="58">
        <f t="shared" si="1"/>
        <v>0.14237750272736471</v>
      </c>
      <c r="E79" s="59">
        <v>10</v>
      </c>
    </row>
    <row r="80" spans="1:5" ht="13.5" customHeight="1" thickBot="1" x14ac:dyDescent="0.25">
      <c r="A80" s="9"/>
      <c r="B80" s="53"/>
      <c r="C80" s="60"/>
      <c r="D80" s="61"/>
      <c r="E80" s="9"/>
    </row>
    <row r="81" spans="1:7" x14ac:dyDescent="0.2">
      <c r="A81" s="62" t="s">
        <v>27</v>
      </c>
      <c r="B81" s="63"/>
      <c r="C81" s="64">
        <f>SUM(C69:C79)</f>
        <v>4278013.1843362171</v>
      </c>
      <c r="D81" s="60"/>
      <c r="E81" s="60"/>
    </row>
    <row r="82" spans="1:7" x14ac:dyDescent="0.2">
      <c r="A82" s="65"/>
      <c r="B82" s="66"/>
      <c r="C82" s="67"/>
      <c r="D82" s="9"/>
      <c r="E82" s="9"/>
    </row>
    <row r="83" spans="1:7" ht="13.5" thickBot="1" x14ac:dyDescent="0.25">
      <c r="A83" s="68" t="s">
        <v>28</v>
      </c>
      <c r="B83" s="69"/>
      <c r="C83" s="70">
        <f>C81*$D$79</f>
        <v>609092.83382053196</v>
      </c>
      <c r="D83" s="60"/>
      <c r="E83" s="60"/>
    </row>
    <row r="84" spans="1:7" x14ac:dyDescent="0.2">
      <c r="B84" s="21"/>
      <c r="C84" s="21"/>
      <c r="D84" s="21"/>
      <c r="E84" s="21"/>
      <c r="G84" s="21"/>
    </row>
    <row r="85" spans="1:7" x14ac:dyDescent="0.2">
      <c r="E85" s="37"/>
    </row>
    <row r="86" spans="1:7" x14ac:dyDescent="0.2">
      <c r="B86" s="21"/>
      <c r="C86" s="21"/>
      <c r="D86" s="21"/>
      <c r="E86" s="21"/>
      <c r="G86" s="21"/>
    </row>
    <row r="87" spans="1:7" ht="13.5" thickBot="1" x14ac:dyDescent="0.25">
      <c r="A87" s="132" t="s">
        <v>14</v>
      </c>
      <c r="B87" s="132"/>
      <c r="C87" s="132"/>
      <c r="D87" s="132"/>
      <c r="E87" s="132"/>
      <c r="F87" s="132"/>
      <c r="G87" s="21"/>
    </row>
    <row r="88" spans="1:7" x14ac:dyDescent="0.2">
      <c r="A88" s="965" t="s">
        <v>147</v>
      </c>
      <c r="B88" s="965"/>
      <c r="C88" s="965"/>
      <c r="D88" s="965"/>
      <c r="E88" s="965"/>
      <c r="F88" s="965"/>
      <c r="G88" s="21"/>
    </row>
    <row r="89" spans="1:7" ht="57" customHeight="1" x14ac:dyDescent="0.2">
      <c r="A89" s="968" t="s">
        <v>148</v>
      </c>
      <c r="B89" s="968"/>
      <c r="C89" s="968"/>
      <c r="D89" s="968"/>
      <c r="E89" s="968"/>
      <c r="F89" s="968"/>
      <c r="G89" s="21"/>
    </row>
    <row r="90" spans="1:7" x14ac:dyDescent="0.2">
      <c r="A90" s="73" t="s">
        <v>51</v>
      </c>
      <c r="B90" s="6"/>
      <c r="C90" s="6"/>
      <c r="D90" s="6"/>
      <c r="E90" s="74"/>
      <c r="G90" s="21"/>
    </row>
    <row r="91" spans="1:7" x14ac:dyDescent="0.2">
      <c r="A91" s="75" t="s">
        <v>32</v>
      </c>
      <c r="B91" s="6"/>
      <c r="C91" s="6"/>
      <c r="D91" s="6"/>
      <c r="E91" s="74"/>
      <c r="G91" s="21"/>
    </row>
    <row r="92" spans="1:7" x14ac:dyDescent="0.2">
      <c r="A92" s="73" t="s">
        <v>49</v>
      </c>
      <c r="B92" s="6"/>
      <c r="C92" s="6"/>
      <c r="D92" s="6"/>
      <c r="E92" s="74"/>
    </row>
    <row r="93" spans="1:7" x14ac:dyDescent="0.2">
      <c r="A93" s="75" t="s">
        <v>33</v>
      </c>
      <c r="B93" s="6"/>
      <c r="C93" s="6"/>
      <c r="D93" s="6"/>
      <c r="E93" s="74"/>
    </row>
    <row r="94" spans="1:7" ht="12.75" customHeight="1" x14ac:dyDescent="0.2">
      <c r="A94" s="961" t="s">
        <v>121</v>
      </c>
      <c r="B94" s="961"/>
      <c r="C94" s="961"/>
      <c r="D94" s="961"/>
      <c r="E94" s="961"/>
      <c r="F94" s="961"/>
    </row>
    <row r="95" spans="1:7" x14ac:dyDescent="0.2">
      <c r="A95" s="961"/>
      <c r="B95" s="961"/>
      <c r="C95" s="961"/>
      <c r="D95" s="961"/>
      <c r="E95" s="961"/>
      <c r="F95" s="961"/>
    </row>
    <row r="96" spans="1:7" x14ac:dyDescent="0.2">
      <c r="A96" s="129"/>
      <c r="B96" s="129"/>
      <c r="C96" s="129"/>
      <c r="D96" s="129"/>
      <c r="E96" s="129"/>
    </row>
    <row r="97" spans="1:5" x14ac:dyDescent="0.2">
      <c r="A97" s="11"/>
      <c r="B97" s="77"/>
      <c r="C97" s="77"/>
      <c r="D97" s="77"/>
      <c r="E97" s="78"/>
    </row>
    <row r="98" spans="1:5" x14ac:dyDescent="0.2">
      <c r="A98" s="11"/>
      <c r="B98" s="79" t="s">
        <v>47</v>
      </c>
      <c r="C98" s="79">
        <v>7.38</v>
      </c>
      <c r="D98" s="11"/>
      <c r="E98" s="20"/>
    </row>
    <row r="99" spans="1:5" x14ac:dyDescent="0.2">
      <c r="A99" s="6"/>
      <c r="B99" s="79" t="s">
        <v>48</v>
      </c>
      <c r="C99" s="79">
        <v>7.2</v>
      </c>
      <c r="D99" s="6"/>
      <c r="E99" s="74"/>
    </row>
    <row r="100" spans="1:5" x14ac:dyDescent="0.2">
      <c r="A100" s="6"/>
      <c r="B100" s="79" t="s">
        <v>34</v>
      </c>
      <c r="C100" s="80">
        <v>7.39</v>
      </c>
      <c r="D100" s="18"/>
      <c r="E100" s="19"/>
    </row>
    <row r="101" spans="1:5" x14ac:dyDescent="0.2">
      <c r="A101" s="6"/>
      <c r="B101" s="79" t="s">
        <v>35</v>
      </c>
      <c r="C101" s="80">
        <v>7.01</v>
      </c>
      <c r="D101" s="18"/>
      <c r="E101" s="20"/>
    </row>
    <row r="102" spans="1:5" x14ac:dyDescent="0.2">
      <c r="A102" s="6"/>
      <c r="B102" s="79" t="s">
        <v>36</v>
      </c>
      <c r="C102" s="80">
        <v>6.95</v>
      </c>
      <c r="D102" s="18"/>
      <c r="E102" s="20"/>
    </row>
    <row r="103" spans="1:5" x14ac:dyDescent="0.2">
      <c r="A103" s="6"/>
      <c r="B103" s="79" t="s">
        <v>37</v>
      </c>
      <c r="C103" s="80">
        <v>7.3</v>
      </c>
      <c r="D103" s="18"/>
      <c r="E103" s="20"/>
    </row>
    <row r="104" spans="1:5" x14ac:dyDescent="0.2">
      <c r="A104" s="6"/>
      <c r="B104" s="79" t="s">
        <v>38</v>
      </c>
      <c r="C104" s="80">
        <v>7.22</v>
      </c>
      <c r="D104" s="11"/>
      <c r="E104" s="20"/>
    </row>
    <row r="105" spans="1:5" x14ac:dyDescent="0.2">
      <c r="A105" s="6"/>
      <c r="B105" s="79" t="s">
        <v>39</v>
      </c>
      <c r="C105" s="80">
        <v>7.37</v>
      </c>
      <c r="D105" s="11"/>
      <c r="E105" s="20"/>
    </row>
    <row r="106" spans="1:5" x14ac:dyDescent="0.2">
      <c r="A106" s="6"/>
      <c r="B106" s="79" t="s">
        <v>44</v>
      </c>
      <c r="C106" s="80">
        <v>6.83</v>
      </c>
      <c r="D106" s="11"/>
      <c r="E106" s="20"/>
    </row>
    <row r="107" spans="1:5" x14ac:dyDescent="0.2">
      <c r="A107" s="6"/>
      <c r="B107" s="79" t="s">
        <v>45</v>
      </c>
      <c r="C107" s="80"/>
      <c r="D107" s="11"/>
      <c r="E107" s="20"/>
    </row>
    <row r="108" spans="1:5" x14ac:dyDescent="0.2">
      <c r="A108" s="6"/>
      <c r="B108" s="79" t="s">
        <v>46</v>
      </c>
      <c r="C108" s="80"/>
      <c r="D108" s="11"/>
      <c r="E108" s="20"/>
    </row>
    <row r="109" spans="1:5" x14ac:dyDescent="0.2">
      <c r="A109" s="6"/>
      <c r="B109" s="79" t="s">
        <v>50</v>
      </c>
      <c r="C109" s="81"/>
      <c r="D109" s="11"/>
      <c r="E109" s="20"/>
    </row>
    <row r="110" spans="1:5" x14ac:dyDescent="0.2">
      <c r="A110" s="6"/>
      <c r="B110" s="82" t="s">
        <v>40</v>
      </c>
      <c r="C110" s="83">
        <f>AVERAGE(C98:C106)</f>
        <v>7.1833333333333327</v>
      </c>
      <c r="D110" s="84"/>
      <c r="E110" s="74"/>
    </row>
    <row r="111" spans="1:5" x14ac:dyDescent="0.2">
      <c r="A111" s="6"/>
      <c r="B111" s="6"/>
      <c r="C111" s="6"/>
      <c r="D111" s="6"/>
      <c r="E111" s="74"/>
    </row>
    <row r="112" spans="1:5" x14ac:dyDescent="0.2">
      <c r="A112" s="6"/>
      <c r="B112" s="24" t="s">
        <v>150</v>
      </c>
      <c r="C112" s="157">
        <f>C110/(10^3*1020)</f>
        <v>7.0424836601307187E-6</v>
      </c>
      <c r="D112" s="6"/>
      <c r="E112" s="74"/>
    </row>
  </sheetData>
  <mergeCells count="5">
    <mergeCell ref="D52:F54"/>
    <mergeCell ref="A94:F95"/>
    <mergeCell ref="A89:F89"/>
    <mergeCell ref="A88:F88"/>
    <mergeCell ref="A24:B24"/>
  </mergeCells>
  <hyperlinks>
    <hyperlink ref="A93" r:id="rId1" xr:uid="{00000000-0004-0000-0100-000000000000}"/>
    <hyperlink ref="A91" r:id="rId2" xr:uid="{00000000-0004-0000-0100-000001000000}"/>
  </hyperlinks>
  <pageMargins left="0.75" right="0.75" top="1" bottom="1" header="0.5" footer="0.5"/>
  <pageSetup scale="62" orientation="portrait" horizontalDpi="300" verticalDpi="300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S131"/>
  <sheetViews>
    <sheetView topLeftCell="A40" zoomScale="80" zoomScaleNormal="80" workbookViewId="0">
      <selection activeCell="B149" sqref="B149"/>
    </sheetView>
  </sheetViews>
  <sheetFormatPr defaultColWidth="9.140625" defaultRowHeight="12.75" x14ac:dyDescent="0.2"/>
  <cols>
    <col min="1" max="1" width="29.85546875" style="21" customWidth="1"/>
    <col min="2" max="2" width="12.7109375" style="22" customWidth="1"/>
    <col min="3" max="3" width="14.140625" style="22" customWidth="1"/>
    <col min="4" max="4" width="25" style="22" bestFit="1" customWidth="1"/>
    <col min="5" max="5" width="30.7109375" style="22" customWidth="1"/>
    <col min="6" max="6" width="12.7109375" style="21" customWidth="1"/>
    <col min="7" max="7" width="20.7109375" style="31" customWidth="1"/>
    <col min="8" max="8" width="12.7109375" style="21" customWidth="1"/>
    <col min="9" max="9" width="30.7109375" style="21" bestFit="1" customWidth="1"/>
    <col min="10" max="10" width="9.42578125" style="21" customWidth="1"/>
    <col min="11" max="13" width="9.140625" style="21"/>
    <col min="14" max="14" width="6.28515625" style="21" customWidth="1"/>
    <col min="15" max="16384" width="9.140625" style="21"/>
  </cols>
  <sheetData>
    <row r="1" spans="1:11" ht="13.5" thickBot="1" x14ac:dyDescent="0.25"/>
    <row r="2" spans="1:11" x14ac:dyDescent="0.2">
      <c r="D2" s="23" t="s">
        <v>105</v>
      </c>
      <c r="E2" s="62"/>
      <c r="F2" s="85"/>
      <c r="G2" s="92" t="s">
        <v>69</v>
      </c>
    </row>
    <row r="3" spans="1:11" x14ac:dyDescent="0.2">
      <c r="A3" s="97" t="s">
        <v>52</v>
      </c>
      <c r="B3" s="98" t="s">
        <v>53</v>
      </c>
      <c r="C3" s="99">
        <f>45+50+50</f>
        <v>145</v>
      </c>
      <c r="D3" s="25">
        <f>C3*10^3/C19</f>
        <v>130.39568345323741</v>
      </c>
      <c r="E3" s="86" t="s">
        <v>101</v>
      </c>
      <c r="F3" s="7"/>
      <c r="G3" s="93">
        <v>0.29399999999999998</v>
      </c>
    </row>
    <row r="4" spans="1:11" x14ac:dyDescent="0.2">
      <c r="A4" s="97" t="s">
        <v>54</v>
      </c>
      <c r="B4" s="98" t="s">
        <v>130</v>
      </c>
      <c r="C4" s="100" t="e">
        <f>(C13 - C15)/C13</f>
        <v>#REF!</v>
      </c>
      <c r="E4" s="87" t="s">
        <v>102</v>
      </c>
      <c r="F4" s="9"/>
      <c r="G4" s="94"/>
    </row>
    <row r="5" spans="1:11" x14ac:dyDescent="0.2">
      <c r="A5" s="101" t="s">
        <v>59</v>
      </c>
      <c r="B5" s="105" t="s">
        <v>127</v>
      </c>
      <c r="C5" s="103">
        <f>C6*G7</f>
        <v>1.05</v>
      </c>
      <c r="D5" s="26"/>
      <c r="E5" s="88" t="s">
        <v>70</v>
      </c>
      <c r="F5" s="89" t="s">
        <v>64</v>
      </c>
      <c r="G5" s="95">
        <v>56</v>
      </c>
    </row>
    <row r="6" spans="1:11" x14ac:dyDescent="0.2">
      <c r="A6" s="101" t="s">
        <v>156</v>
      </c>
      <c r="B6" s="105" t="s">
        <v>157</v>
      </c>
      <c r="C6" s="188">
        <v>1.05</v>
      </c>
      <c r="D6" s="26"/>
      <c r="E6" s="88" t="s">
        <v>189</v>
      </c>
      <c r="F6" s="89" t="s">
        <v>190</v>
      </c>
      <c r="G6" s="95">
        <v>7.4809999999999999</v>
      </c>
    </row>
    <row r="7" spans="1:11" x14ac:dyDescent="0.2">
      <c r="A7" s="101" t="s">
        <v>60</v>
      </c>
      <c r="B7" s="102"/>
      <c r="C7" s="104" t="e">
        <f>C4/C5</f>
        <v>#REF!</v>
      </c>
      <c r="D7" s="26"/>
      <c r="E7" s="88" t="s">
        <v>128</v>
      </c>
      <c r="F7" s="89" t="s">
        <v>129</v>
      </c>
      <c r="G7" s="95">
        <v>1</v>
      </c>
    </row>
    <row r="8" spans="1:11" x14ac:dyDescent="0.2">
      <c r="A8" s="101" t="s">
        <v>184</v>
      </c>
      <c r="B8" s="105" t="s">
        <v>12</v>
      </c>
      <c r="C8" s="103" t="e">
        <f>((C13*C3*C4*C5*G8)/(2*46.01))</f>
        <v>#REF!</v>
      </c>
      <c r="D8" s="26"/>
      <c r="E8" s="88" t="s">
        <v>71</v>
      </c>
      <c r="F8" s="89" t="s">
        <v>72</v>
      </c>
      <c r="G8" s="95">
        <v>17.03</v>
      </c>
    </row>
    <row r="9" spans="1:11" ht="13.5" thickBot="1" x14ac:dyDescent="0.25">
      <c r="A9" s="101" t="s">
        <v>185</v>
      </c>
      <c r="B9" s="105" t="s">
        <v>12</v>
      </c>
      <c r="C9" s="103" t="e">
        <f>(C8/G3)</f>
        <v>#REF!</v>
      </c>
      <c r="D9" s="26"/>
      <c r="E9" s="90" t="s">
        <v>89</v>
      </c>
      <c r="F9" s="91" t="s">
        <v>90</v>
      </c>
      <c r="G9" s="183" t="e">
        <f>'Utility Costs'!#REF!</f>
        <v>#REF!</v>
      </c>
    </row>
    <row r="10" spans="1:11" x14ac:dyDescent="0.2">
      <c r="A10" s="101" t="s">
        <v>186</v>
      </c>
      <c r="B10" s="105" t="s">
        <v>65</v>
      </c>
      <c r="C10" s="103" t="e">
        <f>C9*$G$6/$G$5</f>
        <v>#REF!</v>
      </c>
      <c r="D10" s="26"/>
    </row>
    <row r="11" spans="1:11" x14ac:dyDescent="0.2">
      <c r="A11" s="101" t="s">
        <v>67</v>
      </c>
      <c r="B11" s="105" t="s">
        <v>66</v>
      </c>
      <c r="C11" s="103" t="e">
        <f>C10*14*24</f>
        <v>#REF!</v>
      </c>
      <c r="D11" s="26"/>
    </row>
    <row r="12" spans="1:11" x14ac:dyDescent="0.2">
      <c r="A12" s="27"/>
      <c r="B12" s="29"/>
      <c r="C12" s="30"/>
      <c r="D12" s="26"/>
      <c r="E12" s="28" t="s">
        <v>73</v>
      </c>
      <c r="F12" s="21" t="s">
        <v>187</v>
      </c>
      <c r="G12" s="31">
        <v>7.4805000000000001</v>
      </c>
      <c r="I12" s="24" t="s">
        <v>151</v>
      </c>
      <c r="J12" s="24" t="s">
        <v>174</v>
      </c>
      <c r="K12" s="168">
        <v>3</v>
      </c>
    </row>
    <row r="13" spans="1:11" x14ac:dyDescent="0.2">
      <c r="A13" s="101" t="s">
        <v>193</v>
      </c>
      <c r="B13" s="105" t="s">
        <v>113</v>
      </c>
      <c r="C13" s="107" t="e">
        <f>#REF!</f>
        <v>#REF!</v>
      </c>
      <c r="D13" s="26" t="e">
        <f>C13*C3</f>
        <v>#REF!</v>
      </c>
      <c r="E13" s="23" t="s">
        <v>132</v>
      </c>
      <c r="F13" s="24" t="s">
        <v>11</v>
      </c>
      <c r="G13" s="124" t="e">
        <f>'Utility Costs'!#REF!</f>
        <v>#REF!</v>
      </c>
      <c r="I13" s="24"/>
      <c r="J13" s="24" t="s">
        <v>175</v>
      </c>
      <c r="K13" s="169">
        <v>1</v>
      </c>
    </row>
    <row r="14" spans="1:11" x14ac:dyDescent="0.2">
      <c r="A14" s="101" t="s">
        <v>114</v>
      </c>
      <c r="B14" s="105" t="s">
        <v>115</v>
      </c>
      <c r="C14" s="103">
        <v>20</v>
      </c>
      <c r="D14" s="26"/>
      <c r="E14" s="23" t="s">
        <v>133</v>
      </c>
      <c r="F14" s="24" t="s">
        <v>134</v>
      </c>
      <c r="G14" s="124">
        <f>'Utility Costs'!D18</f>
        <v>4.4408333333333347</v>
      </c>
      <c r="I14" s="24"/>
      <c r="J14" s="24"/>
      <c r="K14" s="9"/>
    </row>
    <row r="15" spans="1:11" x14ac:dyDescent="0.2">
      <c r="A15" s="101" t="s">
        <v>114</v>
      </c>
      <c r="B15" s="105" t="s">
        <v>113</v>
      </c>
      <c r="C15" s="106" t="e">
        <f>(C14/10^6)*C21*(20.9/(20.9-3))*(46.01/385)</f>
        <v>#REF!</v>
      </c>
      <c r="D15" s="26" t="e">
        <f>C15*C3</f>
        <v>#REF!</v>
      </c>
      <c r="I15" s="24" t="s">
        <v>152</v>
      </c>
      <c r="J15" s="24" t="s">
        <v>183</v>
      </c>
      <c r="K15" s="165" t="e">
        <f>K20/(3.1+G19)</f>
        <v>#REF!</v>
      </c>
    </row>
    <row r="16" spans="1:11" x14ac:dyDescent="0.2">
      <c r="A16" s="125"/>
      <c r="B16" s="126"/>
      <c r="C16" s="127"/>
      <c r="D16" s="26"/>
      <c r="E16" s="23"/>
      <c r="F16" s="24"/>
      <c r="G16" s="32"/>
      <c r="I16" s="24" t="s">
        <v>170</v>
      </c>
      <c r="J16" s="24" t="s">
        <v>171</v>
      </c>
      <c r="K16" s="161" t="e">
        <f>K20/(K15*G19)+1</f>
        <v>#REF!</v>
      </c>
    </row>
    <row r="17" spans="1:19" x14ac:dyDescent="0.2">
      <c r="A17" s="27"/>
      <c r="B17" s="29"/>
      <c r="C17" s="30"/>
      <c r="D17" s="26"/>
      <c r="E17" s="23"/>
      <c r="F17" s="24"/>
      <c r="G17" s="136"/>
      <c r="I17" s="24" t="s">
        <v>172</v>
      </c>
      <c r="J17" s="24" t="s">
        <v>173</v>
      </c>
      <c r="K17" s="165" t="e">
        <f>K15*(7+K16)+9</f>
        <v>#REF!</v>
      </c>
    </row>
    <row r="18" spans="1:19" x14ac:dyDescent="0.2">
      <c r="A18" s="27" t="s">
        <v>178</v>
      </c>
      <c r="B18" s="29" t="s">
        <v>179</v>
      </c>
      <c r="C18" s="184" t="e">
        <f>(C3*C20/C19)/(C3*8760/C19)</f>
        <v>#REF!</v>
      </c>
      <c r="D18" s="26"/>
      <c r="E18" s="23" t="s">
        <v>153</v>
      </c>
      <c r="F18" s="24" t="s">
        <v>154</v>
      </c>
      <c r="G18" s="159" t="e">
        <f>#REF!+#REF!</f>
        <v>#REF!</v>
      </c>
    </row>
    <row r="19" spans="1:19" ht="15.75" x14ac:dyDescent="0.3">
      <c r="A19" s="27" t="s">
        <v>180</v>
      </c>
      <c r="B19" s="29" t="s">
        <v>181</v>
      </c>
      <c r="C19" s="185">
        <v>1112</v>
      </c>
      <c r="D19" s="26"/>
      <c r="E19" s="23" t="s">
        <v>155</v>
      </c>
      <c r="F19" s="24" t="s">
        <v>169</v>
      </c>
      <c r="G19" s="136" t="e">
        <f>G18/(16*60)</f>
        <v>#REF!</v>
      </c>
    </row>
    <row r="20" spans="1:19" x14ac:dyDescent="0.2">
      <c r="A20" s="27" t="s">
        <v>195</v>
      </c>
      <c r="B20" s="29"/>
      <c r="C20" s="185" t="e">
        <f>#REF!</f>
        <v>#REF!</v>
      </c>
      <c r="D20" s="26"/>
      <c r="E20" s="23"/>
      <c r="F20" s="24"/>
      <c r="G20" s="160"/>
      <c r="I20" s="166" t="s">
        <v>123</v>
      </c>
      <c r="J20" s="174" t="s">
        <v>124</v>
      </c>
      <c r="K20" s="167" t="e">
        <f>2.81*C3*K21*K22*K23*K24*K25</f>
        <v>#REF!</v>
      </c>
    </row>
    <row r="21" spans="1:19" x14ac:dyDescent="0.2">
      <c r="A21" s="27" t="s">
        <v>191</v>
      </c>
      <c r="B21" t="s">
        <v>188</v>
      </c>
      <c r="C21" s="186" t="e">
        <f>#REF!</f>
        <v>#REF!</v>
      </c>
      <c r="D21" s="26"/>
      <c r="E21" s="23" t="s">
        <v>125</v>
      </c>
      <c r="F21" s="24" t="s">
        <v>126</v>
      </c>
      <c r="G21" s="124" t="e">
        <f>'Utility Costs'!#REF!</f>
        <v>#REF!</v>
      </c>
      <c r="I21" s="24" t="s">
        <v>158</v>
      </c>
      <c r="J21" s="175" t="s">
        <v>159</v>
      </c>
      <c r="K21" s="162" t="e">
        <f>0.2869+(1.058*C4)</f>
        <v>#REF!</v>
      </c>
    </row>
    <row r="22" spans="1:19" x14ac:dyDescent="0.2">
      <c r="A22" s="27"/>
      <c r="B22" s="29"/>
      <c r="C22" s="30"/>
      <c r="D22" s="26"/>
      <c r="E22" s="23" t="s">
        <v>199</v>
      </c>
      <c r="F22" s="24"/>
      <c r="G22" s="123" t="e">
        <f>24000/C20</f>
        <v>#REF!</v>
      </c>
      <c r="I22" s="24" t="s">
        <v>160</v>
      </c>
      <c r="J22" s="24" t="s">
        <v>161</v>
      </c>
      <c r="K22" s="162" t="e">
        <f>1.2835-(0.0567*N22)</f>
        <v>#REF!</v>
      </c>
      <c r="M22" s="163" t="s">
        <v>164</v>
      </c>
      <c r="N22" s="164" t="e">
        <f>C6-C4</f>
        <v>#REF!</v>
      </c>
    </row>
    <row r="23" spans="1:19" x14ac:dyDescent="0.2">
      <c r="A23" s="27"/>
      <c r="B23" s="29"/>
      <c r="C23" s="30"/>
      <c r="D23" s="26"/>
      <c r="E23" s="23" t="s">
        <v>31</v>
      </c>
      <c r="F23" s="24"/>
      <c r="G23" s="128">
        <v>7.0000000000000007E-2</v>
      </c>
      <c r="I23" s="24" t="s">
        <v>162</v>
      </c>
      <c r="J23" s="24" t="s">
        <v>163</v>
      </c>
      <c r="K23" s="162" t="e">
        <f>0.8524+(0.3208*C13)</f>
        <v>#REF!</v>
      </c>
    </row>
    <row r="24" spans="1:19" x14ac:dyDescent="0.2">
      <c r="A24" s="27"/>
      <c r="B24" s="29"/>
      <c r="C24" s="30"/>
      <c r="D24" s="26"/>
      <c r="E24" s="23"/>
      <c r="F24" s="24"/>
      <c r="G24" s="32"/>
      <c r="I24" s="24" t="s">
        <v>165</v>
      </c>
      <c r="J24" s="24" t="s">
        <v>168</v>
      </c>
      <c r="K24" s="173">
        <f>0.9636+(0.0455*N24)</f>
        <v>0.96746750000000004</v>
      </c>
      <c r="N24" s="21">
        <f>85/10^3</f>
        <v>8.5000000000000006E-2</v>
      </c>
      <c r="O24" s="21" t="s">
        <v>182</v>
      </c>
    </row>
    <row r="25" spans="1:19" x14ac:dyDescent="0.2">
      <c r="A25" s="27"/>
      <c r="B25" s="29"/>
      <c r="C25" s="30"/>
      <c r="D25" s="26"/>
      <c r="E25" s="23"/>
      <c r="F25" s="24"/>
      <c r="G25" s="32"/>
      <c r="I25" s="24" t="s">
        <v>166</v>
      </c>
      <c r="J25" s="24" t="s">
        <v>167</v>
      </c>
      <c r="K25" s="21">
        <f>15.16-(0.03937*N25)+(2.74*10^-5)*N25^2</f>
        <v>1.1460000000000008</v>
      </c>
      <c r="N25" s="134">
        <v>650</v>
      </c>
      <c r="O25" s="24" t="s">
        <v>177</v>
      </c>
    </row>
    <row r="26" spans="1:19" x14ac:dyDescent="0.2">
      <c r="A26" s="27"/>
      <c r="B26" s="29"/>
      <c r="C26" s="30"/>
      <c r="D26" s="26"/>
      <c r="E26" s="23"/>
    </row>
    <row r="27" spans="1:19" x14ac:dyDescent="0.2">
      <c r="A27" s="27"/>
      <c r="B27" s="29"/>
      <c r="C27" s="30"/>
      <c r="D27" s="26"/>
      <c r="E27" s="970" t="s">
        <v>194</v>
      </c>
      <c r="F27" s="970"/>
      <c r="G27" s="970"/>
    </row>
    <row r="28" spans="1:19" x14ac:dyDescent="0.2">
      <c r="A28" s="27"/>
      <c r="B28" s="29"/>
      <c r="C28" s="30"/>
      <c r="D28" s="26"/>
      <c r="E28" s="23"/>
    </row>
    <row r="29" spans="1:19" ht="13.5" thickBot="1" x14ac:dyDescent="0.25">
      <c r="A29" s="176"/>
      <c r="B29" s="177"/>
      <c r="C29" s="178"/>
      <c r="D29" s="179"/>
      <c r="E29" s="180"/>
      <c r="F29" s="181"/>
      <c r="G29" s="182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</row>
    <row r="30" spans="1:19" ht="13.5" thickTop="1" x14ac:dyDescent="0.2">
      <c r="A30" s="27"/>
      <c r="B30" s="29"/>
      <c r="C30" s="30"/>
      <c r="D30" s="26"/>
      <c r="E30" s="23"/>
    </row>
    <row r="31" spans="1:19" x14ac:dyDescent="0.2">
      <c r="A31" s="27"/>
      <c r="B31" s="29"/>
      <c r="C31" s="30"/>
      <c r="D31" s="26"/>
      <c r="E31" s="23"/>
    </row>
    <row r="32" spans="1:19" x14ac:dyDescent="0.2">
      <c r="A32" s="27"/>
      <c r="B32" s="29"/>
      <c r="C32" s="30"/>
      <c r="D32" s="26"/>
      <c r="E32" s="23"/>
    </row>
    <row r="33" spans="1:9" ht="13.5" thickBot="1" x14ac:dyDescent="0.25">
      <c r="A33" s="108" t="s">
        <v>116</v>
      </c>
      <c r="B33" s="109"/>
      <c r="C33" s="110" t="s">
        <v>13</v>
      </c>
      <c r="D33" s="109" t="s">
        <v>42</v>
      </c>
      <c r="E33" s="111"/>
    </row>
    <row r="34" spans="1:9" x14ac:dyDescent="0.2">
      <c r="A34" s="33" t="s">
        <v>74</v>
      </c>
      <c r="B34" s="29"/>
      <c r="C34" s="34" t="e">
        <f>(C3*(3380+((6.12*K17)-187.9)+(411*(C8/C3)-47.3))*(3500/C3)^0.35)+(G21*K20)</f>
        <v>#REF!</v>
      </c>
      <c r="D34" s="29" t="s">
        <v>1</v>
      </c>
    </row>
    <row r="35" spans="1:9" x14ac:dyDescent="0.2">
      <c r="A35" s="27"/>
      <c r="B35" s="29"/>
      <c r="C35" s="35"/>
      <c r="D35" s="26"/>
      <c r="I35" s="24" t="s">
        <v>176</v>
      </c>
    </row>
    <row r="36" spans="1:9" ht="13.5" thickBot="1" x14ac:dyDescent="0.25">
      <c r="A36" s="108" t="s">
        <v>75</v>
      </c>
      <c r="B36" s="118"/>
      <c r="C36" s="119"/>
      <c r="D36" s="120"/>
      <c r="E36" s="121"/>
    </row>
    <row r="37" spans="1:9" x14ac:dyDescent="0.2">
      <c r="A37" s="36" t="s">
        <v>55</v>
      </c>
      <c r="B37" s="29"/>
      <c r="C37" s="37" t="e">
        <f>C34*0.05</f>
        <v>#REF!</v>
      </c>
      <c r="D37" s="24" t="s">
        <v>2</v>
      </c>
    </row>
    <row r="38" spans="1:9" x14ac:dyDescent="0.2">
      <c r="A38" s="36" t="s">
        <v>56</v>
      </c>
      <c r="B38" s="29"/>
      <c r="C38" s="37" t="e">
        <f>C34*0.1</f>
        <v>#REF!</v>
      </c>
      <c r="D38" s="24" t="s">
        <v>57</v>
      </c>
    </row>
    <row r="39" spans="1:9" x14ac:dyDescent="0.2">
      <c r="A39" s="36" t="s">
        <v>58</v>
      </c>
      <c r="B39" s="29"/>
      <c r="C39" s="37" t="e">
        <f>C34*0.05</f>
        <v>#REF!</v>
      </c>
      <c r="D39" s="24" t="s">
        <v>2</v>
      </c>
    </row>
    <row r="40" spans="1:9" x14ac:dyDescent="0.2">
      <c r="A40" s="967" t="s">
        <v>76</v>
      </c>
      <c r="B40" s="967"/>
      <c r="C40" s="34" t="e">
        <f>SUM(C37:C39)</f>
        <v>#REF!</v>
      </c>
      <c r="D40" s="29" t="s">
        <v>79</v>
      </c>
      <c r="F40" s="24"/>
    </row>
    <row r="41" spans="1:9" x14ac:dyDescent="0.2">
      <c r="A41" s="27"/>
      <c r="B41" s="29"/>
      <c r="C41" s="35"/>
      <c r="D41" s="26"/>
    </row>
    <row r="42" spans="1:9" x14ac:dyDescent="0.2">
      <c r="A42" s="27" t="s">
        <v>77</v>
      </c>
      <c r="B42" s="29"/>
      <c r="C42" s="133" t="e">
        <f>0.15*(C34+C40)</f>
        <v>#REF!</v>
      </c>
      <c r="D42" s="29" t="s">
        <v>78</v>
      </c>
    </row>
    <row r="43" spans="1:9" x14ac:dyDescent="0.2">
      <c r="A43" s="27" t="s">
        <v>80</v>
      </c>
      <c r="B43" s="29"/>
      <c r="C43" s="35" t="e">
        <f>C34+C40+C42</f>
        <v>#REF!</v>
      </c>
      <c r="D43" s="29" t="s">
        <v>81</v>
      </c>
    </row>
    <row r="44" spans="1:9" x14ac:dyDescent="0.2">
      <c r="A44" s="27" t="s">
        <v>82</v>
      </c>
      <c r="B44" s="29"/>
      <c r="C44" s="35">
        <v>0</v>
      </c>
      <c r="D44" s="29" t="s">
        <v>83</v>
      </c>
    </row>
    <row r="45" spans="1:9" x14ac:dyDescent="0.2">
      <c r="A45" s="27" t="s">
        <v>84</v>
      </c>
      <c r="B45" s="29"/>
      <c r="C45" s="35">
        <v>0</v>
      </c>
      <c r="D45" s="29" t="s">
        <v>85</v>
      </c>
    </row>
    <row r="46" spans="1:9" x14ac:dyDescent="0.2">
      <c r="A46" s="27" t="s">
        <v>86</v>
      </c>
      <c r="B46" s="29"/>
      <c r="C46" s="133" t="e">
        <f>0.02*(C43+C44)</f>
        <v>#REF!</v>
      </c>
      <c r="D46" s="29" t="s">
        <v>87</v>
      </c>
    </row>
    <row r="47" spans="1:9" x14ac:dyDescent="0.2">
      <c r="A47" s="27" t="s">
        <v>88</v>
      </c>
      <c r="B47" s="29"/>
      <c r="C47" s="35" t="e">
        <f>C11*G9</f>
        <v>#REF!</v>
      </c>
      <c r="D47" s="29" t="s">
        <v>91</v>
      </c>
      <c r="E47" s="24" t="s">
        <v>92</v>
      </c>
    </row>
    <row r="48" spans="1:9" x14ac:dyDescent="0.2">
      <c r="A48" s="27" t="s">
        <v>93</v>
      </c>
      <c r="B48" s="29"/>
      <c r="C48" s="35">
        <v>0</v>
      </c>
      <c r="D48" s="29" t="s">
        <v>192</v>
      </c>
    </row>
    <row r="49" spans="1:5" x14ac:dyDescent="0.2">
      <c r="A49" s="38" t="s">
        <v>43</v>
      </c>
      <c r="B49" s="39"/>
      <c r="C49" s="40" t="e">
        <f>C43+C44+C45+C46+C47+C48</f>
        <v>#REF!</v>
      </c>
      <c r="D49" s="41" t="s">
        <v>95</v>
      </c>
      <c r="E49" s="42"/>
    </row>
    <row r="50" spans="1:5" x14ac:dyDescent="0.2">
      <c r="A50" s="27"/>
      <c r="B50" s="29"/>
      <c r="C50" s="35"/>
      <c r="D50" s="26"/>
    </row>
    <row r="51" spans="1:5" x14ac:dyDescent="0.2">
      <c r="A51" s="27"/>
      <c r="B51" s="29"/>
      <c r="C51" s="35"/>
      <c r="D51" s="26"/>
    </row>
    <row r="52" spans="1:5" ht="13.5" thickBot="1" x14ac:dyDescent="0.25">
      <c r="A52" s="108" t="s">
        <v>96</v>
      </c>
      <c r="B52" s="118"/>
      <c r="C52" s="119"/>
      <c r="D52" s="120"/>
      <c r="E52" s="121"/>
    </row>
    <row r="53" spans="1:5" x14ac:dyDescent="0.2">
      <c r="A53" s="27" t="s">
        <v>97</v>
      </c>
      <c r="B53" s="29"/>
      <c r="C53" s="35" t="e">
        <f>C49*0.015</f>
        <v>#REF!</v>
      </c>
      <c r="D53" s="29" t="s">
        <v>98</v>
      </c>
    </row>
    <row r="54" spans="1:5" x14ac:dyDescent="0.2">
      <c r="A54" s="27" t="s">
        <v>99</v>
      </c>
      <c r="B54" s="29"/>
      <c r="C54" s="35" t="e">
        <f>$G$9*$C$10*$C$20</f>
        <v>#REF!</v>
      </c>
      <c r="D54" s="29" t="s">
        <v>131</v>
      </c>
    </row>
    <row r="55" spans="1:5" x14ac:dyDescent="0.2">
      <c r="A55" s="27" t="s">
        <v>9</v>
      </c>
      <c r="B55" s="29"/>
      <c r="C55" s="35"/>
      <c r="D55" s="26"/>
    </row>
    <row r="56" spans="1:5" x14ac:dyDescent="0.2">
      <c r="A56" s="36" t="s">
        <v>10</v>
      </c>
      <c r="B56" s="29"/>
      <c r="C56" s="35" t="e">
        <f>#REF!*C20*$G$14</f>
        <v>#REF!</v>
      </c>
      <c r="E56" s="29" t="s">
        <v>198</v>
      </c>
    </row>
    <row r="57" spans="1:5" x14ac:dyDescent="0.2">
      <c r="A57" s="36" t="s">
        <v>0</v>
      </c>
      <c r="B57" s="29"/>
      <c r="C57" s="35" t="e">
        <f>(0.105*C3*(C13*C4+0.5*(K12+K15*K13)))*C20*G13</f>
        <v>#REF!</v>
      </c>
      <c r="D57" s="26"/>
    </row>
    <row r="58" spans="1:5" x14ac:dyDescent="0.2">
      <c r="A58" s="27" t="s">
        <v>8</v>
      </c>
      <c r="B58" s="29"/>
      <c r="C58" s="35" t="e">
        <f>K20*G21*(G23*(1/(((1+G23)^G22)-1)))</f>
        <v>#REF!</v>
      </c>
      <c r="D58" s="29"/>
    </row>
    <row r="59" spans="1:5" x14ac:dyDescent="0.2">
      <c r="A59" s="27"/>
      <c r="B59" s="29"/>
      <c r="C59" s="35"/>
      <c r="D59" s="26"/>
    </row>
    <row r="60" spans="1:5" x14ac:dyDescent="0.2">
      <c r="A60" s="38" t="s">
        <v>104</v>
      </c>
      <c r="B60" s="39"/>
      <c r="C60" s="40" t="e">
        <f>SUM(C53:C58)</f>
        <v>#REF!</v>
      </c>
      <c r="D60" s="115"/>
      <c r="E60" s="42"/>
    </row>
    <row r="61" spans="1:5" x14ac:dyDescent="0.2">
      <c r="A61" s="27"/>
      <c r="B61" s="29"/>
      <c r="C61" s="35"/>
      <c r="D61" s="26"/>
    </row>
    <row r="62" spans="1:5" x14ac:dyDescent="0.2">
      <c r="A62" s="27" t="s">
        <v>122</v>
      </c>
      <c r="B62" s="29"/>
      <c r="C62" s="43">
        <f>D98</f>
        <v>9.4392925743255696E-2</v>
      </c>
      <c r="D62" s="29" t="s">
        <v>210</v>
      </c>
    </row>
    <row r="63" spans="1:5" x14ac:dyDescent="0.2">
      <c r="A63" s="38" t="s">
        <v>106</v>
      </c>
      <c r="B63" s="39"/>
      <c r="C63" s="40" t="e">
        <f>C62*C49</f>
        <v>#REF!</v>
      </c>
      <c r="D63" s="116" t="s">
        <v>107</v>
      </c>
      <c r="E63" s="42"/>
    </row>
    <row r="64" spans="1:5" x14ac:dyDescent="0.2">
      <c r="A64" s="27"/>
      <c r="B64" s="29"/>
      <c r="C64" s="35"/>
      <c r="D64" s="26"/>
    </row>
    <row r="65" spans="1:6" x14ac:dyDescent="0.2">
      <c r="A65" s="38" t="s">
        <v>108</v>
      </c>
      <c r="B65" s="39"/>
      <c r="C65" s="44" t="e">
        <f>C63+C60</f>
        <v>#REF!</v>
      </c>
      <c r="D65" s="117" t="s">
        <v>109</v>
      </c>
      <c r="E65" s="42"/>
    </row>
    <row r="66" spans="1:6" x14ac:dyDescent="0.2">
      <c r="A66" s="27"/>
      <c r="B66" s="29"/>
      <c r="C66" s="35"/>
      <c r="D66" s="26"/>
    </row>
    <row r="67" spans="1:6" x14ac:dyDescent="0.2">
      <c r="A67" s="24" t="s">
        <v>117</v>
      </c>
      <c r="B67" s="24" t="s">
        <v>118</v>
      </c>
      <c r="C67" s="25" t="e">
        <f>C13*C3*C20/2000</f>
        <v>#REF!</v>
      </c>
      <c r="D67" s="24" t="e">
        <f>C67*2000/C20</f>
        <v>#REF!</v>
      </c>
    </row>
    <row r="68" spans="1:6" x14ac:dyDescent="0.2">
      <c r="A68" s="27" t="s">
        <v>111</v>
      </c>
      <c r="B68" s="24" t="s">
        <v>118</v>
      </c>
      <c r="C68" s="30" t="e">
        <f>(C13*C4*C3*C20)/2000</f>
        <v>#REF!</v>
      </c>
      <c r="D68" s="156" t="s">
        <v>197</v>
      </c>
      <c r="F68" s="21" t="e">
        <f>C68*2000/C20</f>
        <v>#REF!</v>
      </c>
    </row>
    <row r="69" spans="1:6" ht="39" customHeight="1" thickBot="1" x14ac:dyDescent="0.25">
      <c r="A69" s="45"/>
      <c r="B69" s="26"/>
      <c r="C69" s="35"/>
      <c r="D69" s="26"/>
    </row>
    <row r="70" spans="1:6" ht="13.5" thickBot="1" x14ac:dyDescent="0.25">
      <c r="A70" s="112" t="s">
        <v>119</v>
      </c>
      <c r="B70" s="113" t="s">
        <v>120</v>
      </c>
      <c r="C70" s="114" t="e">
        <f>C65/C68</f>
        <v>#REF!</v>
      </c>
      <c r="D70" s="26"/>
    </row>
    <row r="71" spans="1:6" x14ac:dyDescent="0.2">
      <c r="A71" s="45"/>
      <c r="B71" s="26"/>
      <c r="C71" s="35"/>
      <c r="D71" s="26"/>
    </row>
    <row r="72" spans="1:6" x14ac:dyDescent="0.2">
      <c r="A72" s="45"/>
      <c r="B72" s="26"/>
      <c r="C72" s="35"/>
      <c r="D72" s="26"/>
    </row>
    <row r="73" spans="1:6" x14ac:dyDescent="0.2">
      <c r="A73" s="45"/>
      <c r="B73" s="26"/>
      <c r="C73" s="35"/>
      <c r="D73" s="26"/>
    </row>
    <row r="74" spans="1:6" x14ac:dyDescent="0.2">
      <c r="A74" s="45"/>
      <c r="B74" s="26"/>
      <c r="C74" s="35"/>
      <c r="D74" s="26"/>
    </row>
    <row r="75" spans="1:6" x14ac:dyDescent="0.2">
      <c r="A75" s="27" t="s">
        <v>110</v>
      </c>
      <c r="B75" s="26"/>
      <c r="C75" s="35"/>
      <c r="D75" s="26"/>
    </row>
    <row r="76" spans="1:6" ht="13.5" thickBot="1" x14ac:dyDescent="0.25">
      <c r="A76" s="45"/>
      <c r="B76" s="26"/>
      <c r="C76" s="26"/>
      <c r="D76" s="26"/>
    </row>
    <row r="77" spans="1:6" ht="39" thickBot="1" x14ac:dyDescent="0.25">
      <c r="A77" s="46"/>
      <c r="B77" s="47" t="s">
        <v>26</v>
      </c>
      <c r="C77" s="171" t="s">
        <v>29</v>
      </c>
      <c r="D77" s="171" t="s">
        <v>30</v>
      </c>
      <c r="E77" s="172"/>
    </row>
    <row r="78" spans="1:6" x14ac:dyDescent="0.2">
      <c r="A78" s="49" t="s">
        <v>15</v>
      </c>
      <c r="B78" s="9"/>
      <c r="C78" s="50" t="e">
        <f>C49</f>
        <v>#REF!</v>
      </c>
      <c r="D78" s="51"/>
      <c r="E78" s="52"/>
    </row>
    <row r="79" spans="1:6" x14ac:dyDescent="0.2">
      <c r="A79" s="49" t="s">
        <v>16</v>
      </c>
      <c r="B79" s="53">
        <f>1/(1+7%)^E79</f>
        <v>0.93457943925233644</v>
      </c>
      <c r="C79" s="50" t="e">
        <f>C78*B79</f>
        <v>#REF!</v>
      </c>
      <c r="D79" s="54">
        <f>7%/(1-(1+7%)^-E79)</f>
        <v>1.07</v>
      </c>
      <c r="E79" s="52">
        <v>1</v>
      </c>
    </row>
    <row r="80" spans="1:6" ht="13.5" customHeight="1" x14ac:dyDescent="0.2">
      <c r="A80" s="49" t="s">
        <v>17</v>
      </c>
      <c r="B80" s="53">
        <f>1/(1+7%)^E80</f>
        <v>0.87343872827321156</v>
      </c>
      <c r="C80" s="50" t="e">
        <f t="shared" ref="C80:C87" si="0">C79*B80</f>
        <v>#REF!</v>
      </c>
      <c r="D80" s="54">
        <f t="shared" ref="D80:D87" si="1">7%/(1-(1+7%)^-E80)</f>
        <v>0.55309178743961329</v>
      </c>
      <c r="E80" s="52">
        <v>2</v>
      </c>
    </row>
    <row r="81" spans="1:7" ht="13.5" customHeight="1" x14ac:dyDescent="0.2">
      <c r="A81" s="49" t="s">
        <v>18</v>
      </c>
      <c r="B81" s="53">
        <f>1/(1+7%)^E81</f>
        <v>0.81629787689085187</v>
      </c>
      <c r="C81" s="50" t="e">
        <f t="shared" si="0"/>
        <v>#REF!</v>
      </c>
      <c r="D81" s="54">
        <f t="shared" si="1"/>
        <v>0.38105166568166948</v>
      </c>
      <c r="E81" s="52">
        <v>3</v>
      </c>
    </row>
    <row r="82" spans="1:7" x14ac:dyDescent="0.2">
      <c r="A82" s="49" t="s">
        <v>19</v>
      </c>
      <c r="B82" s="53">
        <f t="shared" ref="B82:B87" si="2">1/(1+7%)^E82</f>
        <v>0.7628952120475252</v>
      </c>
      <c r="C82" s="50" t="e">
        <f t="shared" si="0"/>
        <v>#REF!</v>
      </c>
      <c r="D82" s="54">
        <f t="shared" si="1"/>
        <v>0.29522811666726351</v>
      </c>
      <c r="E82" s="52">
        <v>4</v>
      </c>
    </row>
    <row r="83" spans="1:7" x14ac:dyDescent="0.2">
      <c r="A83" s="49" t="s">
        <v>20</v>
      </c>
      <c r="B83" s="53">
        <f t="shared" si="2"/>
        <v>0.71298617948366838</v>
      </c>
      <c r="C83" s="50" t="e">
        <f t="shared" si="0"/>
        <v>#REF!</v>
      </c>
      <c r="D83" s="54">
        <f t="shared" si="1"/>
        <v>0.24389069444137404</v>
      </c>
      <c r="E83" s="52">
        <v>5</v>
      </c>
    </row>
    <row r="84" spans="1:7" x14ac:dyDescent="0.2">
      <c r="A84" s="49" t="s">
        <v>21</v>
      </c>
      <c r="B84" s="53">
        <f t="shared" si="2"/>
        <v>0.66634222381651254</v>
      </c>
      <c r="C84" s="50" t="e">
        <f t="shared" si="0"/>
        <v>#REF!</v>
      </c>
      <c r="D84" s="54">
        <f t="shared" si="1"/>
        <v>0.20979579975832816</v>
      </c>
      <c r="E84" s="52">
        <v>6</v>
      </c>
    </row>
    <row r="85" spans="1:7" x14ac:dyDescent="0.2">
      <c r="A85" s="49" t="s">
        <v>22</v>
      </c>
      <c r="B85" s="53">
        <f t="shared" si="2"/>
        <v>0.62274974188459109</v>
      </c>
      <c r="C85" s="50" t="e">
        <f t="shared" si="0"/>
        <v>#REF!</v>
      </c>
      <c r="D85" s="54">
        <f t="shared" si="1"/>
        <v>0.18555321963115931</v>
      </c>
      <c r="E85" s="52">
        <v>7</v>
      </c>
      <c r="G85" s="21"/>
    </row>
    <row r="86" spans="1:7" x14ac:dyDescent="0.2">
      <c r="A86" s="49" t="s">
        <v>23</v>
      </c>
      <c r="B86" s="53">
        <f t="shared" si="2"/>
        <v>0.5820091045650384</v>
      </c>
      <c r="C86" s="50" t="e">
        <f t="shared" si="0"/>
        <v>#REF!</v>
      </c>
      <c r="D86" s="54">
        <f t="shared" si="1"/>
        <v>0.16746776249075465</v>
      </c>
      <c r="E86" s="52">
        <v>8</v>
      </c>
    </row>
    <row r="87" spans="1:7" x14ac:dyDescent="0.2">
      <c r="A87" s="49" t="s">
        <v>24</v>
      </c>
      <c r="B87" s="53">
        <f t="shared" si="2"/>
        <v>0.54393374258414806</v>
      </c>
      <c r="C87" s="50" t="e">
        <f t="shared" si="0"/>
        <v>#REF!</v>
      </c>
      <c r="D87" s="54">
        <f t="shared" si="1"/>
        <v>0.15348647013842193</v>
      </c>
      <c r="E87" s="52">
        <v>9</v>
      </c>
      <c r="F87" s="49"/>
      <c r="G87" s="21"/>
    </row>
    <row r="88" spans="1:7" x14ac:dyDescent="0.2">
      <c r="A88" s="49" t="s">
        <v>25</v>
      </c>
      <c r="B88" s="53">
        <f t="shared" ref="B88:B98" si="3">1/(1+7%)^E88</f>
        <v>0.5083492921347178</v>
      </c>
      <c r="C88" s="50" t="e">
        <f t="shared" ref="C88:C98" si="4">C87*B88</f>
        <v>#REF!</v>
      </c>
      <c r="D88" s="54">
        <f t="shared" ref="D88:D98" si="5">7%/(1-(1+7%)^-E88)</f>
        <v>0.14237750272736471</v>
      </c>
      <c r="E88" s="52">
        <v>10</v>
      </c>
      <c r="F88" s="190"/>
      <c r="G88" s="21"/>
    </row>
    <row r="89" spans="1:7" x14ac:dyDescent="0.2">
      <c r="A89" s="49" t="s">
        <v>200</v>
      </c>
      <c r="B89" s="53">
        <f t="shared" si="3"/>
        <v>0.47509279638758667</v>
      </c>
      <c r="C89" s="50" t="e">
        <f t="shared" si="4"/>
        <v>#REF!</v>
      </c>
      <c r="D89" s="54">
        <f t="shared" si="5"/>
        <v>0.13335690483624485</v>
      </c>
      <c r="E89" s="52">
        <v>11</v>
      </c>
      <c r="F89" s="190"/>
      <c r="G89" s="21"/>
    </row>
    <row r="90" spans="1:7" x14ac:dyDescent="0.2">
      <c r="A90" s="49" t="s">
        <v>201</v>
      </c>
      <c r="B90" s="53">
        <f t="shared" si="3"/>
        <v>0.44401195924073528</v>
      </c>
      <c r="C90" s="50" t="e">
        <f t="shared" si="4"/>
        <v>#REF!</v>
      </c>
      <c r="D90" s="54">
        <f t="shared" si="5"/>
        <v>0.12590198865502045</v>
      </c>
      <c r="E90" s="52">
        <v>12</v>
      </c>
      <c r="F90" s="189"/>
      <c r="G90" s="21"/>
    </row>
    <row r="91" spans="1:7" x14ac:dyDescent="0.2">
      <c r="A91" s="49" t="s">
        <v>202</v>
      </c>
      <c r="B91" s="53">
        <f t="shared" si="3"/>
        <v>0.41496444788853759</v>
      </c>
      <c r="C91" s="50" t="e">
        <f t="shared" si="4"/>
        <v>#REF!</v>
      </c>
      <c r="D91" s="54">
        <f t="shared" si="5"/>
        <v>0.11965084813625726</v>
      </c>
      <c r="E91" s="52">
        <v>13</v>
      </c>
      <c r="F91" s="189"/>
      <c r="G91" s="21"/>
    </row>
    <row r="92" spans="1:7" x14ac:dyDescent="0.2">
      <c r="A92" s="49" t="s">
        <v>203</v>
      </c>
      <c r="B92" s="53">
        <f t="shared" si="3"/>
        <v>0.3878172410173249</v>
      </c>
      <c r="C92" s="50" t="e">
        <f t="shared" si="4"/>
        <v>#REF!</v>
      </c>
      <c r="D92" s="54">
        <f t="shared" si="5"/>
        <v>0.1143449386198428</v>
      </c>
      <c r="E92" s="52">
        <v>14</v>
      </c>
      <c r="F92" s="189"/>
      <c r="G92" s="21"/>
    </row>
    <row r="93" spans="1:7" x14ac:dyDescent="0.2">
      <c r="A93" s="49" t="s">
        <v>204</v>
      </c>
      <c r="B93" s="53">
        <f t="shared" si="3"/>
        <v>0.36244601964235967</v>
      </c>
      <c r="C93" s="50" t="e">
        <f t="shared" si="4"/>
        <v>#REF!</v>
      </c>
      <c r="D93" s="54">
        <f t="shared" si="5"/>
        <v>0.10979462470100652</v>
      </c>
      <c r="E93" s="52">
        <v>15</v>
      </c>
      <c r="F93" s="189"/>
      <c r="G93" s="21"/>
    </row>
    <row r="94" spans="1:7" x14ac:dyDescent="0.2">
      <c r="A94" s="49" t="s">
        <v>205</v>
      </c>
      <c r="B94" s="53">
        <f t="shared" si="3"/>
        <v>0.33873459779659787</v>
      </c>
      <c r="C94" s="50" t="e">
        <f t="shared" si="4"/>
        <v>#REF!</v>
      </c>
      <c r="D94" s="54">
        <f t="shared" si="5"/>
        <v>0.1058576477262428</v>
      </c>
      <c r="E94" s="52">
        <v>16</v>
      </c>
      <c r="F94" s="189"/>
      <c r="G94" s="21"/>
    </row>
    <row r="95" spans="1:7" x14ac:dyDescent="0.2">
      <c r="A95" s="49" t="s">
        <v>206</v>
      </c>
      <c r="B95" s="53">
        <f t="shared" si="3"/>
        <v>0.31657439046411018</v>
      </c>
      <c r="C95" s="50" t="e">
        <f t="shared" si="4"/>
        <v>#REF!</v>
      </c>
      <c r="D95" s="54">
        <f t="shared" si="5"/>
        <v>0.1024251930616656</v>
      </c>
      <c r="E95" s="52">
        <v>17</v>
      </c>
      <c r="F95" s="189"/>
      <c r="G95" s="21"/>
    </row>
    <row r="96" spans="1:7" x14ac:dyDescent="0.2">
      <c r="A96" s="49" t="s">
        <v>207</v>
      </c>
      <c r="B96" s="53">
        <f t="shared" si="3"/>
        <v>0.29586391632159825</v>
      </c>
      <c r="C96" s="50" t="e">
        <f t="shared" si="4"/>
        <v>#REF!</v>
      </c>
      <c r="D96" s="54">
        <f t="shared" si="5"/>
        <v>9.9412601658362007E-2</v>
      </c>
      <c r="E96" s="52">
        <v>18</v>
      </c>
      <c r="F96" s="189"/>
      <c r="G96" s="21"/>
    </row>
    <row r="97" spans="1:7" x14ac:dyDescent="0.2">
      <c r="A97" s="49" t="s">
        <v>208</v>
      </c>
      <c r="B97" s="53">
        <f t="shared" si="3"/>
        <v>0.27650833301083949</v>
      </c>
      <c r="C97" s="50" t="e">
        <f t="shared" si="4"/>
        <v>#REF!</v>
      </c>
      <c r="D97" s="54">
        <f t="shared" si="5"/>
        <v>9.6753014849926072E-2</v>
      </c>
      <c r="E97" s="52">
        <v>19</v>
      </c>
      <c r="F97" s="189"/>
      <c r="G97" s="21"/>
    </row>
    <row r="98" spans="1:7" ht="13.5" thickBot="1" x14ac:dyDescent="0.25">
      <c r="A98" s="55" t="s">
        <v>209</v>
      </c>
      <c r="B98" s="56">
        <f t="shared" si="3"/>
        <v>0.2584190028138687</v>
      </c>
      <c r="C98" s="57" t="e">
        <f t="shared" si="4"/>
        <v>#REF!</v>
      </c>
      <c r="D98" s="58">
        <f t="shared" si="5"/>
        <v>9.4392925743255696E-2</v>
      </c>
      <c r="E98" s="59">
        <v>20</v>
      </c>
      <c r="F98" s="189"/>
      <c r="G98" s="21"/>
    </row>
    <row r="99" spans="1:7" x14ac:dyDescent="0.2">
      <c r="A99" s="9"/>
      <c r="B99" s="53"/>
      <c r="C99" s="60"/>
      <c r="D99" s="61"/>
      <c r="E99" s="9"/>
      <c r="F99" s="189"/>
      <c r="G99" s="21"/>
    </row>
    <row r="100" spans="1:7" ht="13.5" thickBot="1" x14ac:dyDescent="0.25">
      <c r="A100" s="9"/>
      <c r="B100" s="53"/>
      <c r="C100" s="60"/>
      <c r="D100" s="61"/>
      <c r="E100" s="9"/>
      <c r="F100" s="72"/>
      <c r="G100" s="21"/>
    </row>
    <row r="101" spans="1:7" x14ac:dyDescent="0.2">
      <c r="A101" s="62" t="s">
        <v>27</v>
      </c>
      <c r="B101" s="63"/>
      <c r="C101" s="64" t="e">
        <f>SUM(C78:C98)</f>
        <v>#REF!</v>
      </c>
      <c r="D101" s="60"/>
      <c r="E101" s="60"/>
      <c r="G101" s="21"/>
    </row>
    <row r="102" spans="1:7" x14ac:dyDescent="0.2">
      <c r="A102" s="65"/>
      <c r="B102" s="66"/>
      <c r="C102" s="67"/>
      <c r="D102" s="9"/>
      <c r="E102" s="9"/>
      <c r="G102" s="21"/>
    </row>
    <row r="103" spans="1:7" ht="13.5" thickBot="1" x14ac:dyDescent="0.25">
      <c r="A103" s="68" t="s">
        <v>28</v>
      </c>
      <c r="B103" s="69"/>
      <c r="C103" s="70" t="e">
        <f>C101*$D$98</f>
        <v>#REF!</v>
      </c>
      <c r="D103" s="60"/>
      <c r="E103" s="60"/>
    </row>
    <row r="104" spans="1:7" x14ac:dyDescent="0.2">
      <c r="B104" s="21"/>
      <c r="C104" s="21"/>
      <c r="D104" s="21"/>
      <c r="E104" s="21"/>
    </row>
    <row r="105" spans="1:7" ht="12.75" customHeight="1" x14ac:dyDescent="0.2">
      <c r="E105" s="37"/>
    </row>
    <row r="106" spans="1:7" x14ac:dyDescent="0.2">
      <c r="B106" s="21"/>
      <c r="C106" s="21"/>
      <c r="D106" s="21"/>
      <c r="E106" s="21"/>
    </row>
    <row r="107" spans="1:7" ht="13.5" thickBot="1" x14ac:dyDescent="0.25">
      <c r="A107" s="71" t="s">
        <v>14</v>
      </c>
      <c r="B107" s="71"/>
      <c r="C107" s="71"/>
      <c r="D107" s="71"/>
      <c r="E107" s="71"/>
    </row>
    <row r="108" spans="1:7" x14ac:dyDescent="0.2">
      <c r="A108" s="72" t="s">
        <v>196</v>
      </c>
      <c r="B108" s="72"/>
      <c r="C108" s="72"/>
      <c r="D108" s="72"/>
      <c r="E108" s="72"/>
    </row>
    <row r="109" spans="1:7" x14ac:dyDescent="0.2">
      <c r="A109" s="73" t="s">
        <v>51</v>
      </c>
      <c r="B109" s="6"/>
      <c r="C109" s="6"/>
      <c r="D109" s="6"/>
      <c r="E109" s="74"/>
    </row>
    <row r="110" spans="1:7" x14ac:dyDescent="0.2">
      <c r="A110" s="75" t="s">
        <v>32</v>
      </c>
      <c r="B110" s="6"/>
      <c r="C110" s="6"/>
      <c r="D110" s="6"/>
      <c r="E110" s="74"/>
    </row>
    <row r="111" spans="1:7" x14ac:dyDescent="0.2">
      <c r="A111" s="73" t="s">
        <v>49</v>
      </c>
      <c r="B111" s="6"/>
      <c r="C111" s="6"/>
      <c r="D111" s="6"/>
      <c r="E111" s="74"/>
    </row>
    <row r="112" spans="1:7" x14ac:dyDescent="0.2">
      <c r="A112" s="75" t="s">
        <v>33</v>
      </c>
      <c r="B112" s="6"/>
      <c r="C112" s="6"/>
      <c r="D112" s="6"/>
      <c r="E112" s="74"/>
    </row>
    <row r="113" spans="1:5" ht="28.5" customHeight="1" x14ac:dyDescent="0.2">
      <c r="A113" s="961" t="s">
        <v>121</v>
      </c>
      <c r="B113" s="961"/>
      <c r="C113" s="961"/>
      <c r="D113" s="961"/>
      <c r="E113" s="961"/>
    </row>
    <row r="114" spans="1:5" x14ac:dyDescent="0.2">
      <c r="A114" s="76"/>
      <c r="B114" s="76"/>
      <c r="C114" s="76"/>
      <c r="D114" s="76"/>
      <c r="E114" s="76"/>
    </row>
    <row r="115" spans="1:5" x14ac:dyDescent="0.2">
      <c r="A115" s="76"/>
      <c r="B115" s="76"/>
      <c r="C115" s="76"/>
      <c r="D115" s="76"/>
      <c r="E115" s="76"/>
    </row>
    <row r="116" spans="1:5" x14ac:dyDescent="0.2">
      <c r="A116" s="11"/>
      <c r="B116" s="77"/>
      <c r="C116" s="77"/>
      <c r="D116" s="77"/>
      <c r="E116" s="78"/>
    </row>
    <row r="117" spans="1:5" x14ac:dyDescent="0.2">
      <c r="A117" s="11"/>
      <c r="B117" s="79" t="s">
        <v>47</v>
      </c>
      <c r="C117" s="79">
        <v>7.38</v>
      </c>
      <c r="D117" s="11"/>
      <c r="E117" s="20"/>
    </row>
    <row r="118" spans="1:5" x14ac:dyDescent="0.2">
      <c r="A118" s="6"/>
      <c r="B118" s="79" t="s">
        <v>48</v>
      </c>
      <c r="C118" s="79">
        <v>7.2</v>
      </c>
      <c r="D118" s="6"/>
      <c r="E118" s="74"/>
    </row>
    <row r="119" spans="1:5" x14ac:dyDescent="0.2">
      <c r="A119" s="6"/>
      <c r="B119" s="79" t="s">
        <v>34</v>
      </c>
      <c r="C119" s="80">
        <v>7.39</v>
      </c>
      <c r="D119" s="18"/>
      <c r="E119" s="19"/>
    </row>
    <row r="120" spans="1:5" x14ac:dyDescent="0.2">
      <c r="A120" s="6"/>
      <c r="B120" s="79" t="s">
        <v>35</v>
      </c>
      <c r="C120" s="80">
        <v>7.01</v>
      </c>
      <c r="D120" s="18"/>
      <c r="E120" s="20"/>
    </row>
    <row r="121" spans="1:5" x14ac:dyDescent="0.2">
      <c r="A121" s="6"/>
      <c r="B121" s="79" t="s">
        <v>36</v>
      </c>
      <c r="C121" s="80">
        <v>6.95</v>
      </c>
      <c r="D121" s="18"/>
      <c r="E121" s="20"/>
    </row>
    <row r="122" spans="1:5" x14ac:dyDescent="0.2">
      <c r="A122" s="6"/>
      <c r="B122" s="79" t="s">
        <v>37</v>
      </c>
      <c r="C122" s="80">
        <v>7.3</v>
      </c>
      <c r="D122" s="18"/>
      <c r="E122" s="20"/>
    </row>
    <row r="123" spans="1:5" x14ac:dyDescent="0.2">
      <c r="A123" s="6"/>
      <c r="B123" s="79" t="s">
        <v>38</v>
      </c>
      <c r="C123" s="80">
        <v>7.22</v>
      </c>
      <c r="D123" s="11"/>
      <c r="E123" s="20"/>
    </row>
    <row r="124" spans="1:5" x14ac:dyDescent="0.2">
      <c r="A124" s="6"/>
      <c r="B124" s="79" t="s">
        <v>39</v>
      </c>
      <c r="C124" s="80">
        <v>7.37</v>
      </c>
      <c r="D124" s="11"/>
      <c r="E124" s="20"/>
    </row>
    <row r="125" spans="1:5" x14ac:dyDescent="0.2">
      <c r="A125" s="6"/>
      <c r="B125" s="79" t="s">
        <v>44</v>
      </c>
      <c r="C125" s="80">
        <v>6.83</v>
      </c>
      <c r="D125" s="11"/>
      <c r="E125" s="20"/>
    </row>
    <row r="126" spans="1:5" x14ac:dyDescent="0.2">
      <c r="A126" s="6"/>
      <c r="B126" s="79" t="s">
        <v>45</v>
      </c>
      <c r="C126" s="80"/>
      <c r="D126" s="11"/>
      <c r="E126" s="20"/>
    </row>
    <row r="127" spans="1:5" x14ac:dyDescent="0.2">
      <c r="A127" s="6"/>
      <c r="B127" s="79" t="s">
        <v>46</v>
      </c>
      <c r="C127" s="80"/>
      <c r="D127" s="11"/>
      <c r="E127" s="20"/>
    </row>
    <row r="128" spans="1:5" x14ac:dyDescent="0.2">
      <c r="A128" s="6"/>
      <c r="B128" s="79" t="s">
        <v>50</v>
      </c>
      <c r="C128" s="81"/>
      <c r="D128" s="11"/>
      <c r="E128" s="20"/>
    </row>
    <row r="129" spans="1:5" x14ac:dyDescent="0.2">
      <c r="A129" s="6"/>
      <c r="B129" s="82" t="s">
        <v>40</v>
      </c>
      <c r="C129" s="83">
        <f>AVERAGE(C117:C125)</f>
        <v>7.1833333333333327</v>
      </c>
      <c r="D129" s="84"/>
      <c r="E129" s="74"/>
    </row>
    <row r="130" spans="1:5" x14ac:dyDescent="0.2">
      <c r="A130" s="6"/>
      <c r="B130" s="6"/>
      <c r="C130" s="6"/>
      <c r="D130" s="6"/>
      <c r="E130" s="74"/>
    </row>
    <row r="131" spans="1:5" x14ac:dyDescent="0.2">
      <c r="A131" s="6"/>
      <c r="B131" s="6"/>
      <c r="C131" s="6"/>
      <c r="D131" s="6"/>
      <c r="E131" s="74"/>
    </row>
  </sheetData>
  <mergeCells count="3">
    <mergeCell ref="A40:B40"/>
    <mergeCell ref="A113:E113"/>
    <mergeCell ref="E27:G27"/>
  </mergeCells>
  <hyperlinks>
    <hyperlink ref="A112" r:id="rId1" xr:uid="{00000000-0004-0000-0200-000000000000}"/>
    <hyperlink ref="A110" r:id="rId2" xr:uid="{00000000-0004-0000-0200-000001000000}"/>
  </hyperlinks>
  <pageMargins left="0.75" right="0.75" top="1" bottom="1" header="0.5" footer="0.5"/>
  <pageSetup scale="59" orientation="portrait" horizontalDpi="300" verticalDpi="300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theme="3" tint="0.39997558519241921"/>
  </sheetPr>
  <dimension ref="A3:J72"/>
  <sheetViews>
    <sheetView view="pageLayout" topLeftCell="A2" zoomScaleNormal="80" workbookViewId="0">
      <selection activeCell="A3" sqref="A3:I3"/>
    </sheetView>
  </sheetViews>
  <sheetFormatPr defaultColWidth="9.140625" defaultRowHeight="12.75" x14ac:dyDescent="0.2"/>
  <cols>
    <col min="1" max="1" width="29.85546875" style="21" customWidth="1"/>
    <col min="2" max="2" width="12.7109375" style="22" customWidth="1"/>
    <col min="3" max="3" width="14.140625" style="22" customWidth="1"/>
    <col min="4" max="4" width="25" style="22" bestFit="1" customWidth="1"/>
    <col min="5" max="5" width="30.7109375" style="22" customWidth="1"/>
    <col min="6" max="6" width="12.7109375" style="21" customWidth="1"/>
    <col min="7" max="7" width="20.7109375" style="31" customWidth="1"/>
    <col min="8" max="8" width="12.7109375" style="21" customWidth="1"/>
    <col min="9" max="9" width="4.28515625" style="21" bestFit="1" customWidth="1"/>
    <col min="10" max="16384" width="9.140625" style="21"/>
  </cols>
  <sheetData>
    <row r="3" spans="1:9" ht="18" x14ac:dyDescent="0.25">
      <c r="A3" s="971" t="s">
        <v>428</v>
      </c>
      <c r="B3" s="971"/>
      <c r="C3" s="971"/>
      <c r="D3" s="971"/>
      <c r="E3" s="971"/>
      <c r="F3" s="971"/>
      <c r="G3" s="971"/>
      <c r="H3" s="971"/>
      <c r="I3" s="971"/>
    </row>
    <row r="4" spans="1:9" ht="18" x14ac:dyDescent="0.25">
      <c r="A4" s="971" t="s">
        <v>656</v>
      </c>
      <c r="B4" s="971"/>
      <c r="C4" s="971"/>
      <c r="D4" s="971"/>
      <c r="E4" s="971"/>
      <c r="F4" s="971"/>
      <c r="G4" s="971"/>
      <c r="H4" s="971"/>
      <c r="I4" s="971"/>
    </row>
    <row r="5" spans="1:9" ht="18" x14ac:dyDescent="0.25">
      <c r="A5" s="971" t="s">
        <v>211</v>
      </c>
      <c r="B5" s="971"/>
      <c r="C5" s="971"/>
      <c r="D5" s="971"/>
      <c r="E5" s="971"/>
      <c r="F5" s="971"/>
      <c r="G5" s="971"/>
      <c r="H5" s="971"/>
      <c r="I5" s="971"/>
    </row>
    <row r="7" spans="1:9" ht="16.5" thickBot="1" x14ac:dyDescent="0.3">
      <c r="A7" s="191" t="s">
        <v>212</v>
      </c>
      <c r="B7" s="192"/>
      <c r="C7" s="192"/>
      <c r="D7" s="192"/>
      <c r="E7" s="192"/>
      <c r="F7" s="181"/>
      <c r="G7" s="182"/>
      <c r="H7" s="181"/>
      <c r="I7" s="181"/>
    </row>
    <row r="8" spans="1:9" ht="13.5" thickTop="1" x14ac:dyDescent="0.2"/>
    <row r="9" spans="1:9" x14ac:dyDescent="0.2">
      <c r="D9" s="23"/>
      <c r="E9" s="199" t="s">
        <v>219</v>
      </c>
    </row>
    <row r="10" spans="1:9" ht="15.75" x14ac:dyDescent="0.3">
      <c r="A10" s="97" t="s">
        <v>603</v>
      </c>
      <c r="B10" s="98" t="s">
        <v>615</v>
      </c>
      <c r="C10" s="689">
        <v>430</v>
      </c>
      <c r="D10" s="25"/>
      <c r="E10" s="200" t="s">
        <v>220</v>
      </c>
      <c r="F10" s="204"/>
      <c r="G10" s="205" t="s">
        <v>69</v>
      </c>
    </row>
    <row r="11" spans="1:9" ht="15.75" x14ac:dyDescent="0.3">
      <c r="A11" s="97" t="s">
        <v>54</v>
      </c>
      <c r="B11" s="98" t="s">
        <v>130</v>
      </c>
      <c r="C11" s="688">
        <f>(C22 - C24)/C22</f>
        <v>0.8666376811594203</v>
      </c>
      <c r="E11" s="206" t="s">
        <v>101</v>
      </c>
      <c r="F11" s="105" t="s">
        <v>616</v>
      </c>
      <c r="G11" s="207">
        <v>0.19</v>
      </c>
    </row>
    <row r="12" spans="1:9" x14ac:dyDescent="0.2">
      <c r="A12" s="101" t="s">
        <v>59</v>
      </c>
      <c r="B12" s="105" t="s">
        <v>127</v>
      </c>
      <c r="C12" s="188">
        <v>1.05</v>
      </c>
      <c r="D12" s="26"/>
      <c r="E12" s="200" t="s">
        <v>102</v>
      </c>
      <c r="F12" s="204"/>
      <c r="G12" s="168"/>
    </row>
    <row r="13" spans="1:9" x14ac:dyDescent="0.2">
      <c r="A13" s="101" t="s">
        <v>156</v>
      </c>
      <c r="B13" s="105" t="s">
        <v>157</v>
      </c>
      <c r="C13" s="103">
        <f>C12/G15</f>
        <v>1.05</v>
      </c>
      <c r="D13" s="26"/>
      <c r="E13" s="200" t="s">
        <v>70</v>
      </c>
      <c r="F13" s="97" t="s">
        <v>64</v>
      </c>
      <c r="G13" s="170">
        <v>58</v>
      </c>
    </row>
    <row r="14" spans="1:9" ht="15.75" x14ac:dyDescent="0.3">
      <c r="A14" s="101" t="s">
        <v>60</v>
      </c>
      <c r="B14" s="102"/>
      <c r="C14" s="104">
        <f>C11/C12</f>
        <v>0.82536922015182879</v>
      </c>
      <c r="D14" s="26"/>
      <c r="E14" s="200" t="s">
        <v>623</v>
      </c>
      <c r="F14" s="97" t="s">
        <v>190</v>
      </c>
      <c r="G14" s="691">
        <v>7.782</v>
      </c>
    </row>
    <row r="15" spans="1:9" x14ac:dyDescent="0.2">
      <c r="A15" s="101" t="s">
        <v>184</v>
      </c>
      <c r="B15" s="105" t="s">
        <v>12</v>
      </c>
      <c r="C15" s="103">
        <f>((C21*C10*C11*C12*G16)/(G15*46.01))</f>
        <v>8.0086355047014131</v>
      </c>
      <c r="D15" s="26"/>
      <c r="E15" s="200" t="s">
        <v>128</v>
      </c>
      <c r="F15" s="97" t="s">
        <v>129</v>
      </c>
      <c r="G15" s="170">
        <v>1</v>
      </c>
    </row>
    <row r="16" spans="1:9" x14ac:dyDescent="0.2">
      <c r="A16" s="101" t="s">
        <v>185</v>
      </c>
      <c r="B16" s="105" t="s">
        <v>12</v>
      </c>
      <c r="C16" s="103">
        <f>(C15/G11)</f>
        <v>42.150713182639016</v>
      </c>
      <c r="D16" s="26"/>
      <c r="E16" s="200" t="s">
        <v>71</v>
      </c>
      <c r="F16" s="97" t="s">
        <v>72</v>
      </c>
      <c r="G16" s="170">
        <v>17.03</v>
      </c>
    </row>
    <row r="17" spans="1:7" ht="14.25" x14ac:dyDescent="0.2">
      <c r="A17" s="101" t="s">
        <v>186</v>
      </c>
      <c r="B17" s="105" t="s">
        <v>65</v>
      </c>
      <c r="C17" s="103">
        <f>C16*$G$14/$G$13</f>
        <v>5.6554629308154629</v>
      </c>
      <c r="D17" s="26"/>
      <c r="E17" s="200" t="s">
        <v>605</v>
      </c>
      <c r="F17" s="97" t="s">
        <v>90</v>
      </c>
      <c r="G17" s="208">
        <v>2.2400000000000002</v>
      </c>
    </row>
    <row r="18" spans="1:7" x14ac:dyDescent="0.2">
      <c r="A18" s="101" t="s">
        <v>67</v>
      </c>
      <c r="B18" s="105" t="s">
        <v>66</v>
      </c>
      <c r="C18" s="103">
        <f>C17*14*24</f>
        <v>1900.2355447539958</v>
      </c>
      <c r="D18" s="26"/>
    </row>
    <row r="19" spans="1:7" x14ac:dyDescent="0.2">
      <c r="A19" s="27"/>
      <c r="B19" s="29"/>
      <c r="C19" s="30"/>
      <c r="D19" s="26"/>
    </row>
    <row r="20" spans="1:7" x14ac:dyDescent="0.2">
      <c r="A20" s="33" t="s">
        <v>392</v>
      </c>
      <c r="B20" s="29"/>
      <c r="C20" s="30"/>
      <c r="D20" s="26"/>
    </row>
    <row r="21" spans="1:7" x14ac:dyDescent="0.2">
      <c r="A21" s="101" t="s">
        <v>393</v>
      </c>
      <c r="B21" s="105" t="s">
        <v>113</v>
      </c>
      <c r="C21" s="107">
        <f>(15/10^6)*(46/385)*8710*(20.9/(20.9-15))</f>
        <v>5.5296900726392269E-2</v>
      </c>
      <c r="D21" s="26"/>
      <c r="E21" s="199" t="s">
        <v>218</v>
      </c>
    </row>
    <row r="22" spans="1:7" ht="15.75" x14ac:dyDescent="0.3">
      <c r="A22" s="97" t="s">
        <v>224</v>
      </c>
      <c r="B22" s="99" t="s">
        <v>113</v>
      </c>
      <c r="C22" s="213">
        <f>C21</f>
        <v>5.5296900726392269E-2</v>
      </c>
      <c r="D22" s="682"/>
      <c r="E22" s="211" t="s">
        <v>223</v>
      </c>
      <c r="F22" s="24" t="s">
        <v>624</v>
      </c>
      <c r="G22" s="159">
        <f>'LNG Turbines - Not Used'!E33/60</f>
        <v>351168.48810868111</v>
      </c>
    </row>
    <row r="23" spans="1:7" ht="15.75" x14ac:dyDescent="0.3">
      <c r="A23" s="101" t="s">
        <v>114</v>
      </c>
      <c r="B23" s="105" t="s">
        <v>115</v>
      </c>
      <c r="C23" s="103">
        <v>2</v>
      </c>
      <c r="D23" s="26"/>
      <c r="E23" s="211" t="s">
        <v>155</v>
      </c>
      <c r="F23" s="24" t="s">
        <v>169</v>
      </c>
      <c r="G23" s="136">
        <f>G22/(16*60)</f>
        <v>365.80050844654284</v>
      </c>
    </row>
    <row r="24" spans="1:7" x14ac:dyDescent="0.2">
      <c r="A24" s="101" t="s">
        <v>114</v>
      </c>
      <c r="B24" s="105" t="s">
        <v>113</v>
      </c>
      <c r="C24" s="106">
        <f>(C23/10^6)*8710*(20.9/(20.9-15))*(46.01/385)</f>
        <v>7.3745229055690083E-3</v>
      </c>
      <c r="D24" s="682"/>
      <c r="E24" s="211"/>
      <c r="F24" s="24"/>
      <c r="G24" s="160"/>
    </row>
    <row r="25" spans="1:7" ht="14.25" x14ac:dyDescent="0.2">
      <c r="D25" s="26"/>
      <c r="E25" s="211" t="s">
        <v>614</v>
      </c>
      <c r="F25" s="24" t="s">
        <v>126</v>
      </c>
      <c r="G25" s="306">
        <f>160*(567.5/584.6)</f>
        <v>155.31987683886416</v>
      </c>
    </row>
    <row r="26" spans="1:7" x14ac:dyDescent="0.2">
      <c r="C26" s="695">
        <f>1-(C24/C22)</f>
        <v>0.8666376811594203</v>
      </c>
      <c r="D26" s="26"/>
      <c r="E26" s="211" t="s">
        <v>199</v>
      </c>
      <c r="F26" s="24"/>
      <c r="G26" s="123">
        <f>24000/C28</f>
        <v>2.7397260273972601</v>
      </c>
    </row>
    <row r="27" spans="1:7" ht="14.25" x14ac:dyDescent="0.2">
      <c r="A27" s="155" t="s">
        <v>216</v>
      </c>
      <c r="D27" s="26"/>
      <c r="E27" s="211" t="s">
        <v>606</v>
      </c>
      <c r="F27" s="24"/>
      <c r="G27" s="128">
        <v>7.0000000000000007E-2</v>
      </c>
    </row>
    <row r="28" spans="1:7" x14ac:dyDescent="0.2">
      <c r="A28" s="209" t="s">
        <v>604</v>
      </c>
      <c r="B28" s="105"/>
      <c r="C28" s="201">
        <v>8760</v>
      </c>
      <c r="D28" s="26"/>
      <c r="E28" s="23"/>
      <c r="F28" s="24"/>
      <c r="G28" s="32"/>
    </row>
    <row r="29" spans="1:7" x14ac:dyDescent="0.2">
      <c r="A29" s="209" t="s">
        <v>178</v>
      </c>
      <c r="B29" s="105" t="s">
        <v>179</v>
      </c>
      <c r="C29" s="202">
        <f>(C10*C28/C32)/(C10*8760/C32)</f>
        <v>1</v>
      </c>
      <c r="D29" s="26"/>
      <c r="E29" s="23"/>
      <c r="F29" s="24"/>
      <c r="G29" s="32"/>
    </row>
    <row r="30" spans="1:7" x14ac:dyDescent="0.2">
      <c r="D30" s="26"/>
      <c r="E30" s="211" t="s">
        <v>151</v>
      </c>
      <c r="F30" s="24" t="s">
        <v>174</v>
      </c>
      <c r="G30" s="169">
        <v>3</v>
      </c>
    </row>
    <row r="31" spans="1:7" x14ac:dyDescent="0.2">
      <c r="A31" s="155" t="s">
        <v>217</v>
      </c>
      <c r="D31" s="26"/>
      <c r="E31" s="211"/>
      <c r="F31" s="24" t="s">
        <v>175</v>
      </c>
      <c r="G31" s="169">
        <v>1</v>
      </c>
    </row>
    <row r="32" spans="1:7" ht="14.25" x14ac:dyDescent="0.2">
      <c r="A32" s="209" t="s">
        <v>215</v>
      </c>
      <c r="B32" s="105" t="s">
        <v>181</v>
      </c>
      <c r="C32" s="201">
        <f>'LNG Fuel'!C33</f>
        <v>1087</v>
      </c>
      <c r="D32" s="26"/>
      <c r="E32" s="211"/>
      <c r="F32" s="24"/>
      <c r="G32" s="9"/>
    </row>
    <row r="33" spans="1:10" x14ac:dyDescent="0.2">
      <c r="A33" s="209"/>
      <c r="B33" s="187"/>
      <c r="C33" s="203"/>
      <c r="D33" s="26"/>
      <c r="E33" s="211" t="s">
        <v>627</v>
      </c>
      <c r="F33" s="24" t="s">
        <v>221</v>
      </c>
      <c r="G33" s="165">
        <f>G34+G35</f>
        <v>3</v>
      </c>
    </row>
    <row r="34" spans="1:10" x14ac:dyDescent="0.2">
      <c r="A34" s="692"/>
      <c r="B34" s="693"/>
      <c r="C34" s="694"/>
      <c r="D34" s="26"/>
      <c r="E34" s="211" t="s">
        <v>152</v>
      </c>
      <c r="F34" s="24" t="s">
        <v>628</v>
      </c>
      <c r="G34" s="165">
        <f>ROUNDUP((G40/(3.1*G23)),0)</f>
        <v>2</v>
      </c>
    </row>
    <row r="35" spans="1:10" x14ac:dyDescent="0.2">
      <c r="A35" s="692"/>
      <c r="B35" s="693"/>
      <c r="C35" s="694"/>
      <c r="D35" s="26"/>
      <c r="E35" s="211" t="s">
        <v>626</v>
      </c>
      <c r="F35" s="24" t="s">
        <v>625</v>
      </c>
      <c r="G35" s="165">
        <v>1</v>
      </c>
    </row>
    <row r="36" spans="1:10" x14ac:dyDescent="0.2">
      <c r="A36" s="27"/>
      <c r="B36" s="29"/>
      <c r="C36" s="30"/>
      <c r="D36" s="26"/>
      <c r="E36" s="211" t="s">
        <v>170</v>
      </c>
      <c r="F36" s="24" t="s">
        <v>171</v>
      </c>
      <c r="G36" s="161">
        <f>(G40/(G33*G23))+1</f>
        <v>2.4791987550363355</v>
      </c>
    </row>
    <row r="37" spans="1:10" x14ac:dyDescent="0.2">
      <c r="A37" s="28"/>
      <c r="B37" s="21"/>
      <c r="C37" s="31"/>
      <c r="D37" s="26"/>
      <c r="E37" s="211" t="s">
        <v>172</v>
      </c>
      <c r="F37" s="24" t="s">
        <v>173</v>
      </c>
      <c r="G37" s="165">
        <f>G33*(7+G36)+9</f>
        <v>37.437596265109008</v>
      </c>
    </row>
    <row r="38" spans="1:10" x14ac:dyDescent="0.2">
      <c r="A38" s="22"/>
      <c r="B38" s="21"/>
      <c r="C38" s="31"/>
      <c r="D38" s="26"/>
      <c r="E38" s="211" t="s">
        <v>617</v>
      </c>
      <c r="F38" s="24" t="s">
        <v>618</v>
      </c>
      <c r="G38" s="21">
        <v>1</v>
      </c>
    </row>
    <row r="39" spans="1:10" x14ac:dyDescent="0.2">
      <c r="A39" s="199" t="s">
        <v>9</v>
      </c>
      <c r="B39" s="21"/>
      <c r="C39" s="31"/>
      <c r="D39" s="26"/>
      <c r="E39" s="21"/>
      <c r="G39" s="21"/>
    </row>
    <row r="40" spans="1:10" ht="14.25" x14ac:dyDescent="0.2">
      <c r="A40" s="210" t="s">
        <v>609</v>
      </c>
      <c r="B40" s="97" t="s">
        <v>11</v>
      </c>
      <c r="C40" s="198">
        <f>AVERAGE('Utility Costs'!I28:I37)/100</f>
        <v>0.15608096020000001</v>
      </c>
      <c r="D40" s="26"/>
      <c r="E40" s="166" t="s">
        <v>123</v>
      </c>
      <c r="F40" s="174" t="s">
        <v>124</v>
      </c>
      <c r="G40" s="167">
        <f>2.81*C10*G41*G42*G43*G44*G45/G38</f>
        <v>1623.274970057354</v>
      </c>
      <c r="J40" s="21">
        <f>260000/G40</f>
        <v>160.17002959813618</v>
      </c>
    </row>
    <row r="41" spans="1:10" ht="14.25" x14ac:dyDescent="0.2">
      <c r="A41" s="210" t="s">
        <v>610</v>
      </c>
      <c r="B41" s="97" t="s">
        <v>134</v>
      </c>
      <c r="C41" s="198">
        <f>'Utility Costs'!D18</f>
        <v>4.4408333333333347</v>
      </c>
      <c r="D41" s="26"/>
      <c r="E41" s="211" t="s">
        <v>222</v>
      </c>
      <c r="F41" s="175" t="s">
        <v>159</v>
      </c>
      <c r="G41" s="162">
        <f>0.2869+(1.058*C11)</f>
        <v>1.2038026666666668</v>
      </c>
    </row>
    <row r="42" spans="1:10" x14ac:dyDescent="0.2">
      <c r="A42" s="27"/>
      <c r="B42" s="29"/>
      <c r="C42" s="30"/>
      <c r="D42" s="26"/>
      <c r="E42" s="211" t="s">
        <v>160</v>
      </c>
      <c r="F42" s="24" t="s">
        <v>161</v>
      </c>
      <c r="G42" s="162">
        <f>1.2835-(0.0567*G46)</f>
        <v>1.2731033565217391</v>
      </c>
      <c r="I42" s="89"/>
    </row>
    <row r="43" spans="1:10" x14ac:dyDescent="0.2">
      <c r="A43" s="27"/>
      <c r="B43" s="29"/>
      <c r="C43" s="30"/>
      <c r="D43" s="26"/>
      <c r="E43" s="211" t="s">
        <v>162</v>
      </c>
      <c r="F43" s="24" t="s">
        <v>163</v>
      </c>
      <c r="G43" s="162">
        <f>0.8524+(0.3208*C21)</f>
        <v>0.8701392457530267</v>
      </c>
    </row>
    <row r="44" spans="1:10" x14ac:dyDescent="0.2">
      <c r="A44" s="27"/>
      <c r="B44" s="29"/>
      <c r="C44" s="30"/>
      <c r="D44" s="26"/>
      <c r="E44" s="211" t="s">
        <v>165</v>
      </c>
      <c r="F44" s="24" t="s">
        <v>168</v>
      </c>
      <c r="G44" s="162">
        <f>0.9636+(0.0455*'LNG Fuel'!C23)</f>
        <v>0.96403611750000007</v>
      </c>
    </row>
    <row r="45" spans="1:10" ht="16.5" customHeight="1" x14ac:dyDescent="0.2">
      <c r="A45" s="27"/>
      <c r="B45" s="29"/>
      <c r="C45" s="30"/>
      <c r="D45" s="26"/>
      <c r="E45" s="211" t="s">
        <v>225</v>
      </c>
      <c r="F45" s="24" t="s">
        <v>167</v>
      </c>
      <c r="G45" s="21">
        <f>15.16-(0.03937*750)+(2.74*10^-5)*750^2</f>
        <v>1.0449999999999999</v>
      </c>
    </row>
    <row r="46" spans="1:10" x14ac:dyDescent="0.2">
      <c r="A46" s="27"/>
      <c r="B46" s="29"/>
      <c r="C46" s="30"/>
      <c r="D46" s="26"/>
      <c r="E46" s="23" t="s">
        <v>427</v>
      </c>
      <c r="F46" s="24" t="s">
        <v>164</v>
      </c>
      <c r="G46" s="305">
        <f>C13-C11</f>
        <v>0.18336231884057974</v>
      </c>
    </row>
    <row r="47" spans="1:10" x14ac:dyDescent="0.2">
      <c r="A47" s="27"/>
      <c r="B47" s="29"/>
      <c r="C47" s="30"/>
      <c r="D47" s="26"/>
    </row>
    <row r="48" spans="1:10" x14ac:dyDescent="0.2">
      <c r="A48" s="27"/>
      <c r="B48" s="29"/>
      <c r="C48" s="30"/>
      <c r="D48" s="26"/>
    </row>
    <row r="49" spans="1:5" x14ac:dyDescent="0.2">
      <c r="A49" s="27"/>
      <c r="B49" s="29"/>
      <c r="C49" s="30"/>
      <c r="D49" s="26"/>
    </row>
    <row r="50" spans="1:5" x14ac:dyDescent="0.2">
      <c r="A50" s="27"/>
      <c r="B50" s="29"/>
      <c r="C50" s="30"/>
      <c r="D50" s="26"/>
      <c r="E50" s="23"/>
    </row>
    <row r="51" spans="1:5" x14ac:dyDescent="0.2">
      <c r="A51" s="27"/>
      <c r="B51" s="29"/>
      <c r="C51" s="30"/>
      <c r="D51" s="26"/>
      <c r="E51" s="23"/>
    </row>
    <row r="52" spans="1:5" x14ac:dyDescent="0.2">
      <c r="A52" s="196" t="s">
        <v>214</v>
      </c>
      <c r="B52" s="194"/>
      <c r="C52" s="195"/>
      <c r="D52" s="26"/>
    </row>
    <row r="53" spans="1:5" x14ac:dyDescent="0.2">
      <c r="A53" s="970" t="s">
        <v>194</v>
      </c>
      <c r="B53" s="970"/>
      <c r="C53" s="970"/>
      <c r="D53" s="26"/>
      <c r="E53" s="23"/>
    </row>
    <row r="54" spans="1:5" ht="14.25" x14ac:dyDescent="0.2">
      <c r="A54" s="197" t="s">
        <v>640</v>
      </c>
      <c r="B54" s="29"/>
      <c r="C54" s="30"/>
      <c r="D54" s="26"/>
      <c r="E54" s="23"/>
    </row>
    <row r="55" spans="1:5" ht="14.25" x14ac:dyDescent="0.2">
      <c r="A55" s="197"/>
      <c r="B55" s="29"/>
      <c r="C55" s="30"/>
      <c r="D55" s="26"/>
      <c r="E55" s="23"/>
    </row>
    <row r="56" spans="1:5" ht="14.25" x14ac:dyDescent="0.2">
      <c r="A56" s="197" t="s">
        <v>597</v>
      </c>
      <c r="B56" s="29"/>
      <c r="C56" s="30"/>
      <c r="D56" s="26"/>
      <c r="E56" s="23"/>
    </row>
    <row r="57" spans="1:5" ht="14.25" x14ac:dyDescent="0.2">
      <c r="A57" s="197" t="s">
        <v>600</v>
      </c>
      <c r="B57" s="29"/>
      <c r="C57" s="30"/>
      <c r="D57" s="26"/>
      <c r="E57" s="23"/>
    </row>
    <row r="58" spans="1:5" ht="14.25" x14ac:dyDescent="0.2">
      <c r="A58" s="197" t="s">
        <v>638</v>
      </c>
      <c r="B58" s="29"/>
      <c r="C58" s="30"/>
      <c r="D58" s="26"/>
      <c r="E58" s="23"/>
    </row>
    <row r="59" spans="1:5" ht="14.25" x14ac:dyDescent="0.2">
      <c r="A59" s="197" t="s">
        <v>607</v>
      </c>
      <c r="B59" s="29"/>
      <c r="C59" s="30"/>
      <c r="D59" s="26"/>
      <c r="E59" s="23"/>
    </row>
    <row r="60" spans="1:5" ht="14.25" x14ac:dyDescent="0.2">
      <c r="A60" s="24" t="s">
        <v>608</v>
      </c>
      <c r="B60" s="29"/>
      <c r="C60" s="30"/>
      <c r="D60" s="26"/>
      <c r="E60" s="23"/>
    </row>
    <row r="61" spans="1:5" ht="15" x14ac:dyDescent="0.25">
      <c r="A61" s="24" t="s">
        <v>611</v>
      </c>
      <c r="B61" s="29"/>
      <c r="C61" s="30"/>
      <c r="D61" s="26"/>
      <c r="E61" s="23"/>
    </row>
    <row r="62" spans="1:5" ht="15" x14ac:dyDescent="0.25">
      <c r="A62" s="24" t="s">
        <v>613</v>
      </c>
      <c r="B62" s="29"/>
      <c r="C62" s="30"/>
      <c r="D62" s="26"/>
      <c r="E62" s="23"/>
    </row>
    <row r="63" spans="1:5" x14ac:dyDescent="0.2">
      <c r="A63" s="24"/>
      <c r="B63" s="29"/>
      <c r="C63" s="30"/>
      <c r="D63" s="26"/>
      <c r="E63" s="23"/>
    </row>
    <row r="64" spans="1:5" x14ac:dyDescent="0.2">
      <c r="A64" s="27"/>
      <c r="B64" s="29"/>
      <c r="C64" s="30"/>
      <c r="D64" s="26"/>
      <c r="E64" s="23"/>
    </row>
    <row r="65" spans="1:9" x14ac:dyDescent="0.2">
      <c r="A65" s="27"/>
      <c r="B65" s="29"/>
      <c r="C65" s="30"/>
      <c r="D65" s="26"/>
      <c r="E65" s="23"/>
    </row>
    <row r="66" spans="1:9" s="9" customFormat="1" ht="16.5" thickBot="1" x14ac:dyDescent="0.3">
      <c r="A66" s="193" t="s">
        <v>213</v>
      </c>
      <c r="B66" s="177"/>
      <c r="C66" s="178"/>
      <c r="D66" s="179"/>
      <c r="E66" s="180"/>
      <c r="F66" s="181"/>
      <c r="G66" s="182"/>
      <c r="H66" s="181"/>
      <c r="I66" s="181"/>
    </row>
    <row r="67" spans="1:9" ht="13.5" thickTop="1" x14ac:dyDescent="0.2">
      <c r="A67" s="27"/>
      <c r="B67" s="29"/>
      <c r="C67" s="30"/>
      <c r="D67" s="26"/>
      <c r="E67" s="23"/>
    </row>
    <row r="68" spans="1:9" x14ac:dyDescent="0.2">
      <c r="A68" s="27"/>
      <c r="B68" s="29"/>
      <c r="C68" s="30"/>
      <c r="D68" s="26"/>
      <c r="E68" s="23"/>
    </row>
    <row r="69" spans="1:9" x14ac:dyDescent="0.2">
      <c r="A69" s="27"/>
      <c r="B69" s="29"/>
      <c r="C69" s="30"/>
      <c r="D69" s="26"/>
      <c r="E69" s="23"/>
    </row>
    <row r="70" spans="1:9" ht="13.5" thickBot="1" x14ac:dyDescent="0.25">
      <c r="A70" s="108" t="s">
        <v>116</v>
      </c>
      <c r="B70" s="109"/>
      <c r="C70" s="110" t="s">
        <v>13</v>
      </c>
      <c r="D70" s="109" t="s">
        <v>42</v>
      </c>
      <c r="E70" s="111"/>
    </row>
    <row r="71" spans="1:9" x14ac:dyDescent="0.2">
      <c r="A71" s="33" t="s">
        <v>74</v>
      </c>
      <c r="B71" s="29"/>
      <c r="C71" s="34">
        <f>(C10*(3380+((6.12*G37)-187.9)+(411*(C15/C10)-47.3))*(3500/C10)^0.35)+(G25*G40)</f>
        <v>3281111.4330528001</v>
      </c>
      <c r="D71" s="29" t="s">
        <v>619</v>
      </c>
    </row>
    <row r="72" spans="1:9" x14ac:dyDescent="0.2">
      <c r="A72" s="27"/>
      <c r="B72" s="29"/>
      <c r="C72" s="35"/>
      <c r="D72" s="26"/>
      <c r="I72" s="24"/>
    </row>
  </sheetData>
  <mergeCells count="4">
    <mergeCell ref="A3:I3"/>
    <mergeCell ref="A4:I4"/>
    <mergeCell ref="A5:I5"/>
    <mergeCell ref="A53:C53"/>
  </mergeCells>
  <pageMargins left="0.7" right="0.7" top="0.75" bottom="0.75" header="0.3" footer="0.3"/>
  <pageSetup scale="63" fitToHeight="2" orientation="portrait" horizontalDpi="300" verticalDpi="300" r:id="rId1"/>
  <headerFooter alignWithMargins="0">
    <oddHeader>&amp;C
NOx BACT Analysis
Based on EPA Algorithms for Traditional SCR</oddHeader>
  </headerFooter>
  <rowBreaks count="1" manualBreakCount="1">
    <brk id="60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69"/>
  <sheetViews>
    <sheetView showGridLines="0" tabSelected="1" view="pageLayout" topLeftCell="A61" zoomScaleNormal="90" zoomScaleSheetLayoutView="100" workbookViewId="0">
      <selection activeCell="H16" sqref="H1:N1048576"/>
    </sheetView>
  </sheetViews>
  <sheetFormatPr defaultColWidth="9.140625" defaultRowHeight="15" x14ac:dyDescent="0.25"/>
  <cols>
    <col min="1" max="1" width="42" style="718" customWidth="1"/>
    <col min="2" max="2" width="17.140625" style="719" customWidth="1"/>
    <col min="3" max="3" width="14.5703125" style="719" customWidth="1"/>
    <col min="4" max="4" width="11.5703125" style="719" customWidth="1"/>
    <col min="5" max="5" width="12.42578125" style="719" customWidth="1"/>
    <col min="6" max="6" width="24.5703125" style="719" customWidth="1"/>
    <col min="7" max="7" width="48.7109375" style="716" customWidth="1"/>
    <col min="8" max="8" width="12.42578125" style="719" customWidth="1"/>
    <col min="9" max="9" width="12.42578125" style="718" customWidth="1"/>
    <col min="10" max="10" width="12.42578125" style="719" customWidth="1"/>
    <col min="11" max="11" width="17.42578125" style="719" customWidth="1"/>
    <col min="12" max="12" width="12.42578125" style="718" customWidth="1"/>
    <col min="13" max="13" width="30.28515625" style="718" customWidth="1"/>
    <col min="14" max="16384" width="9.140625" style="718"/>
  </cols>
  <sheetData>
    <row r="1" spans="1:13" ht="18.75" x14ac:dyDescent="0.3">
      <c r="A1" s="975" t="s">
        <v>428</v>
      </c>
      <c r="B1" s="975"/>
      <c r="C1" s="975"/>
      <c r="D1" s="975"/>
      <c r="E1" s="975"/>
      <c r="F1" s="975"/>
      <c r="G1" s="975"/>
      <c r="H1" s="717"/>
      <c r="I1" s="717"/>
      <c r="J1" s="717"/>
      <c r="K1" s="717"/>
      <c r="L1" s="717"/>
      <c r="M1" s="717"/>
    </row>
    <row r="2" spans="1:13" ht="18.75" x14ac:dyDescent="0.3">
      <c r="A2" s="975" t="s">
        <v>656</v>
      </c>
      <c r="B2" s="975"/>
      <c r="C2" s="975"/>
      <c r="D2" s="975"/>
      <c r="E2" s="975"/>
      <c r="F2" s="975"/>
      <c r="G2" s="975"/>
      <c r="H2" s="717"/>
      <c r="I2" s="717"/>
      <c r="J2" s="717"/>
      <c r="K2" s="717"/>
      <c r="L2" s="717"/>
      <c r="M2" s="717"/>
    </row>
    <row r="3" spans="1:13" ht="18.75" x14ac:dyDescent="0.3">
      <c r="A3" s="975" t="s">
        <v>596</v>
      </c>
      <c r="B3" s="975"/>
      <c r="C3" s="975"/>
      <c r="D3" s="975"/>
      <c r="E3" s="975"/>
      <c r="F3" s="975"/>
      <c r="G3" s="975"/>
      <c r="H3" s="717"/>
      <c r="I3" s="717"/>
      <c r="J3" s="717"/>
      <c r="K3" s="717"/>
      <c r="L3" s="717"/>
      <c r="M3" s="717"/>
    </row>
    <row r="4" spans="1:13" s="312" customFormat="1" ht="8.25" customHeight="1" x14ac:dyDescent="0.25">
      <c r="G4" s="716"/>
    </row>
    <row r="5" spans="1:13" s="312" customFormat="1" ht="19.5" thickBot="1" x14ac:dyDescent="0.35">
      <c r="A5" s="721" t="s">
        <v>429</v>
      </c>
      <c r="B5" s="722"/>
      <c r="C5" s="722"/>
      <c r="D5" s="722"/>
      <c r="E5" s="722"/>
      <c r="F5" s="722"/>
      <c r="G5" s="873"/>
      <c r="M5" s="717"/>
    </row>
    <row r="6" spans="1:13" s="876" customFormat="1" ht="15.75" thickTop="1" x14ac:dyDescent="0.25">
      <c r="A6" s="718"/>
      <c r="B6" s="874"/>
      <c r="C6" s="875"/>
      <c r="E6" s="877"/>
      <c r="F6" s="877"/>
      <c r="G6" s="716"/>
      <c r="H6" s="719"/>
      <c r="M6" s="757"/>
    </row>
    <row r="7" spans="1:13" s="312" customFormat="1" ht="30" x14ac:dyDescent="0.25">
      <c r="A7" s="766" t="s">
        <v>430</v>
      </c>
      <c r="B7" s="701" t="s">
        <v>431</v>
      </c>
      <c r="C7" s="878" t="s">
        <v>432</v>
      </c>
      <c r="D7" s="879" t="s">
        <v>433</v>
      </c>
      <c r="E7" s="880" t="s">
        <v>434</v>
      </c>
      <c r="F7" s="881"/>
      <c r="G7" s="879" t="s">
        <v>435</v>
      </c>
      <c r="H7" s="719"/>
      <c r="I7" s="740" t="s">
        <v>436</v>
      </c>
      <c r="J7" s="741" t="s">
        <v>437</v>
      </c>
      <c r="K7" s="741" t="s">
        <v>438</v>
      </c>
      <c r="L7" s="741" t="s">
        <v>439</v>
      </c>
      <c r="M7" s="742" t="s">
        <v>395</v>
      </c>
    </row>
    <row r="8" spans="1:13" s="312" customFormat="1" x14ac:dyDescent="0.25">
      <c r="G8" s="716"/>
      <c r="M8" s="882"/>
    </row>
    <row r="9" spans="1:13" s="312" customFormat="1" x14ac:dyDescent="0.25">
      <c r="A9" s="972" t="s">
        <v>440</v>
      </c>
      <c r="B9" s="973"/>
      <c r="C9" s="973"/>
      <c r="D9" s="973"/>
      <c r="E9" s="973"/>
      <c r="F9" s="973"/>
      <c r="G9" s="974"/>
      <c r="H9" s="719"/>
      <c r="M9" s="882"/>
    </row>
    <row r="10" spans="1:13" ht="18.75" x14ac:dyDescent="0.25">
      <c r="A10" s="883" t="s">
        <v>441</v>
      </c>
      <c r="B10" s="859"/>
      <c r="C10" s="859"/>
      <c r="D10" s="859"/>
      <c r="E10" s="859"/>
      <c r="F10" s="859"/>
      <c r="G10" s="867"/>
      <c r="I10" s="338"/>
      <c r="J10" s="809"/>
      <c r="K10" s="810"/>
      <c r="L10" s="811"/>
      <c r="M10" s="342"/>
    </row>
    <row r="11" spans="1:13" x14ac:dyDescent="0.25">
      <c r="A11" s="884" t="s">
        <v>442</v>
      </c>
      <c r="B11" s="850">
        <v>4100000</v>
      </c>
      <c r="C11" s="885"/>
      <c r="D11" s="818" t="s">
        <v>443</v>
      </c>
      <c r="E11" s="851" t="s">
        <v>1</v>
      </c>
      <c r="F11" s="348"/>
      <c r="G11" s="709" t="s">
        <v>641</v>
      </c>
      <c r="I11" s="350"/>
      <c r="J11" s="803">
        <f>B11</f>
        <v>4100000</v>
      </c>
      <c r="K11" s="831" t="s">
        <v>445</v>
      </c>
      <c r="L11" s="804" t="b">
        <f>IF(B11="","Req'd")</f>
        <v>0</v>
      </c>
      <c r="M11" s="354" t="s">
        <v>446</v>
      </c>
    </row>
    <row r="12" spans="1:13" x14ac:dyDescent="0.25">
      <c r="A12" s="355" t="s">
        <v>447</v>
      </c>
      <c r="B12" s="785">
        <v>0</v>
      </c>
      <c r="C12" s="767"/>
      <c r="D12" s="816" t="s">
        <v>443</v>
      </c>
      <c r="E12" s="827" t="s">
        <v>79</v>
      </c>
      <c r="F12" s="360"/>
      <c r="G12" s="709" t="s">
        <v>602</v>
      </c>
      <c r="I12" s="361"/>
      <c r="J12" s="812">
        <f>IF(ISNUMBER(B12),B12,C12)</f>
        <v>0</v>
      </c>
      <c r="K12" s="834" t="s">
        <v>445</v>
      </c>
      <c r="L12" s="804" t="b">
        <f>IF(B12="","Req'd")</f>
        <v>0</v>
      </c>
      <c r="M12" s="354" t="s">
        <v>446</v>
      </c>
    </row>
    <row r="13" spans="1:13" x14ac:dyDescent="0.25">
      <c r="A13" s="355" t="s">
        <v>448</v>
      </c>
      <c r="B13" s="785"/>
      <c r="C13" s="797">
        <f>D13*B11</f>
        <v>0</v>
      </c>
      <c r="D13" s="816">
        <v>0</v>
      </c>
      <c r="E13" s="827" t="str">
        <f>"C = "&amp;TEXT(D13,"0.00")&amp;" x A"</f>
        <v>C = 0.00 x A</v>
      </c>
      <c r="F13" s="360"/>
      <c r="G13" s="709" t="s">
        <v>602</v>
      </c>
      <c r="I13" s="350"/>
      <c r="J13" s="802">
        <f>IF(ISNUMBER(B13),B13,C13)</f>
        <v>0</v>
      </c>
      <c r="K13" s="831" t="s">
        <v>445</v>
      </c>
      <c r="L13" s="804"/>
      <c r="M13" s="354"/>
    </row>
    <row r="14" spans="1:13" x14ac:dyDescent="0.25">
      <c r="A14" s="355" t="s">
        <v>450</v>
      </c>
      <c r="B14" s="785"/>
      <c r="C14" s="797">
        <f>D14*(B11+B12)</f>
        <v>205000</v>
      </c>
      <c r="D14" s="816">
        <v>0.05</v>
      </c>
      <c r="E14" s="827" t="str">
        <f>"D = "&amp;TEXT(D14,"0.00")&amp;" x (A+B)"</f>
        <v>D = 0.05 x (A+B)</v>
      </c>
      <c r="F14" s="360"/>
      <c r="G14" s="709" t="s">
        <v>642</v>
      </c>
      <c r="I14" s="350"/>
      <c r="J14" s="802">
        <f>IF(ISNUMBER(B14),B14,C14)</f>
        <v>205000</v>
      </c>
      <c r="K14" s="831" t="s">
        <v>445</v>
      </c>
      <c r="L14" s="804"/>
      <c r="M14" s="354"/>
    </row>
    <row r="15" spans="1:13" x14ac:dyDescent="0.25">
      <c r="A15" s="355" t="s">
        <v>451</v>
      </c>
      <c r="B15" s="786"/>
      <c r="C15" s="797">
        <f>D15*SUM(J11:J13)</f>
        <v>0</v>
      </c>
      <c r="D15" s="826">
        <v>0</v>
      </c>
      <c r="E15" s="827" t="s">
        <v>452</v>
      </c>
      <c r="F15" s="360"/>
      <c r="G15" s="709" t="s">
        <v>453</v>
      </c>
      <c r="I15" s="350"/>
      <c r="J15" s="802">
        <f>IF(ISNUMBER(B15),B15,C15)</f>
        <v>0</v>
      </c>
      <c r="K15" s="831" t="s">
        <v>445</v>
      </c>
      <c r="L15" s="804"/>
      <c r="M15" s="354"/>
    </row>
    <row r="16" spans="1:13" x14ac:dyDescent="0.25">
      <c r="A16" s="886" t="s">
        <v>454</v>
      </c>
      <c r="B16" s="887">
        <f>J16</f>
        <v>4305000</v>
      </c>
      <c r="C16" s="888"/>
      <c r="D16" s="821" t="s">
        <v>443</v>
      </c>
      <c r="E16" s="374" t="s">
        <v>455</v>
      </c>
      <c r="F16" s="375"/>
      <c r="G16" s="889"/>
      <c r="I16" s="377"/>
      <c r="J16" s="807">
        <f>SUM(J11:J15)</f>
        <v>4305000</v>
      </c>
      <c r="K16" s="835" t="s">
        <v>445</v>
      </c>
      <c r="L16" s="808"/>
      <c r="M16" s="381"/>
    </row>
    <row r="17" spans="1:13" x14ac:dyDescent="0.25">
      <c r="A17" s="883" t="s">
        <v>456</v>
      </c>
      <c r="B17" s="856"/>
      <c r="C17" s="857"/>
      <c r="D17" s="821"/>
      <c r="E17" s="384"/>
      <c r="F17" s="384"/>
      <c r="G17" s="890"/>
      <c r="I17" s="338"/>
      <c r="J17" s="809"/>
      <c r="K17" s="810"/>
      <c r="L17" s="811"/>
      <c r="M17" s="342"/>
    </row>
    <row r="18" spans="1:13" x14ac:dyDescent="0.25">
      <c r="A18" s="884" t="s">
        <v>457</v>
      </c>
      <c r="B18" s="850"/>
      <c r="C18" s="815">
        <f t="shared" ref="C18:C23" si="0">D18*$B$16</f>
        <v>430500</v>
      </c>
      <c r="D18" s="818">
        <v>0.1</v>
      </c>
      <c r="E18" s="387" t="str">
        <f t="shared" ref="E18:E23" si="1">TEXT(D18,"0.00")&amp;" x PE"</f>
        <v>0.10 x PE</v>
      </c>
      <c r="F18" s="348"/>
      <c r="G18" s="707" t="s">
        <v>643</v>
      </c>
      <c r="I18" s="350"/>
      <c r="J18" s="802">
        <f t="shared" ref="J18:J23" si="2">IF(ISNUMBER(B18),B18,C18)</f>
        <v>430500</v>
      </c>
      <c r="K18" s="831" t="s">
        <v>445</v>
      </c>
      <c r="L18" s="804"/>
      <c r="M18" s="354"/>
    </row>
    <row r="19" spans="1:13" x14ac:dyDescent="0.25">
      <c r="A19" s="355" t="s">
        <v>458</v>
      </c>
      <c r="B19" s="785"/>
      <c r="C19" s="797">
        <f t="shared" si="0"/>
        <v>1506750</v>
      </c>
      <c r="D19" s="816">
        <v>0.35</v>
      </c>
      <c r="E19" s="388" t="str">
        <f t="shared" si="1"/>
        <v>0.35 x PE</v>
      </c>
      <c r="F19" s="360"/>
      <c r="G19" s="709" t="s">
        <v>644</v>
      </c>
      <c r="I19" s="350"/>
      <c r="J19" s="802">
        <f t="shared" si="2"/>
        <v>1506750</v>
      </c>
      <c r="K19" s="831" t="s">
        <v>445</v>
      </c>
      <c r="L19" s="804"/>
      <c r="M19" s="354"/>
    </row>
    <row r="20" spans="1:13" x14ac:dyDescent="0.25">
      <c r="A20" s="355" t="s">
        <v>459</v>
      </c>
      <c r="B20" s="785"/>
      <c r="C20" s="797">
        <f t="shared" si="0"/>
        <v>258300</v>
      </c>
      <c r="D20" s="816">
        <v>0.06</v>
      </c>
      <c r="E20" s="388" t="str">
        <f t="shared" si="1"/>
        <v>0.06 x PE</v>
      </c>
      <c r="F20" s="360"/>
      <c r="G20" s="709" t="s">
        <v>645</v>
      </c>
      <c r="I20" s="350"/>
      <c r="J20" s="802">
        <f>IF(ISNUMBER(B20),B20,C20)</f>
        <v>258300</v>
      </c>
      <c r="K20" s="831" t="s">
        <v>445</v>
      </c>
      <c r="L20" s="804"/>
      <c r="M20" s="354"/>
    </row>
    <row r="21" spans="1:13" x14ac:dyDescent="0.25">
      <c r="A21" s="355" t="s">
        <v>460</v>
      </c>
      <c r="B21" s="785"/>
      <c r="C21" s="797">
        <f t="shared" si="0"/>
        <v>344400</v>
      </c>
      <c r="D21" s="816">
        <v>0.08</v>
      </c>
      <c r="E21" s="388" t="str">
        <f t="shared" si="1"/>
        <v>0.08 x PE</v>
      </c>
      <c r="F21" s="360"/>
      <c r="G21" s="709" t="s">
        <v>646</v>
      </c>
      <c r="I21" s="350"/>
      <c r="J21" s="802">
        <f t="shared" si="2"/>
        <v>344400</v>
      </c>
      <c r="K21" s="831" t="s">
        <v>445</v>
      </c>
      <c r="L21" s="804"/>
      <c r="M21" s="354"/>
    </row>
    <row r="22" spans="1:13" x14ac:dyDescent="0.25">
      <c r="A22" s="355" t="s">
        <v>461</v>
      </c>
      <c r="B22" s="785"/>
      <c r="C22" s="797">
        <f t="shared" si="0"/>
        <v>86100</v>
      </c>
      <c r="D22" s="816">
        <v>0.02</v>
      </c>
      <c r="E22" s="388" t="str">
        <f t="shared" si="1"/>
        <v>0.02 x PE</v>
      </c>
      <c r="F22" s="360"/>
      <c r="G22" s="709" t="s">
        <v>647</v>
      </c>
      <c r="I22" s="350"/>
      <c r="J22" s="802">
        <f t="shared" si="2"/>
        <v>86100</v>
      </c>
      <c r="K22" s="831" t="s">
        <v>445</v>
      </c>
      <c r="L22" s="804"/>
      <c r="M22" s="354"/>
    </row>
    <row r="23" spans="1:13" x14ac:dyDescent="0.25">
      <c r="A23" s="355" t="s">
        <v>462</v>
      </c>
      <c r="B23" s="785"/>
      <c r="C23" s="797">
        <f t="shared" si="0"/>
        <v>172200</v>
      </c>
      <c r="D23" s="816">
        <v>0.04</v>
      </c>
      <c r="E23" s="388" t="str">
        <f t="shared" si="1"/>
        <v>0.04 x PE</v>
      </c>
      <c r="F23" s="360"/>
      <c r="G23" s="709" t="s">
        <v>648</v>
      </c>
      <c r="I23" s="350"/>
      <c r="J23" s="802">
        <f t="shared" si="2"/>
        <v>172200</v>
      </c>
      <c r="K23" s="831" t="s">
        <v>445</v>
      </c>
      <c r="L23" s="804"/>
      <c r="M23" s="354"/>
    </row>
    <row r="24" spans="1:13" x14ac:dyDescent="0.25">
      <c r="A24" s="355" t="s">
        <v>463</v>
      </c>
      <c r="B24" s="786">
        <v>45000</v>
      </c>
      <c r="C24" s="797"/>
      <c r="D24" s="816" t="s">
        <v>443</v>
      </c>
      <c r="E24" s="708" t="s">
        <v>649</v>
      </c>
      <c r="F24" s="360"/>
      <c r="G24" s="709" t="s">
        <v>641</v>
      </c>
      <c r="I24" s="391"/>
      <c r="J24" s="805">
        <f>B24</f>
        <v>45000</v>
      </c>
      <c r="K24" s="832" t="s">
        <v>445</v>
      </c>
      <c r="L24" s="806" t="b">
        <f>IF(B24="","Req'd")</f>
        <v>0</v>
      </c>
      <c r="M24" s="395"/>
    </row>
    <row r="25" spans="1:13" x14ac:dyDescent="0.25">
      <c r="A25" s="891" t="s">
        <v>465</v>
      </c>
      <c r="B25" s="887">
        <f>J25</f>
        <v>2843250</v>
      </c>
      <c r="C25" s="892"/>
      <c r="D25" s="821" t="s">
        <v>443</v>
      </c>
      <c r="E25" s="398" t="s">
        <v>466</v>
      </c>
      <c r="F25" s="399"/>
      <c r="G25" s="889"/>
      <c r="I25" s="400"/>
      <c r="J25" s="800">
        <f>SUM(J18:J24)</f>
        <v>2843250</v>
      </c>
      <c r="K25" s="833" t="s">
        <v>445</v>
      </c>
      <c r="L25" s="801"/>
      <c r="M25" s="404"/>
    </row>
    <row r="26" spans="1:13" s="312" customFormat="1" x14ac:dyDescent="0.25">
      <c r="A26" s="764" t="s">
        <v>467</v>
      </c>
      <c r="B26" s="813">
        <f>SUM(B16,B25)</f>
        <v>7148250</v>
      </c>
      <c r="C26" s="893"/>
      <c r="D26" s="822" t="s">
        <v>443</v>
      </c>
      <c r="E26" s="814" t="s">
        <v>468</v>
      </c>
      <c r="F26" s="410"/>
      <c r="G26" s="889"/>
      <c r="H26" s="718"/>
      <c r="I26" s="411"/>
      <c r="J26" s="750">
        <f>SUM(J16,J25)</f>
        <v>7148250</v>
      </c>
      <c r="K26" s="830" t="s">
        <v>445</v>
      </c>
      <c r="L26" s="775"/>
      <c r="M26" s="415"/>
    </row>
    <row r="27" spans="1:13" x14ac:dyDescent="0.25">
      <c r="A27" s="894"/>
      <c r="B27" s="794"/>
      <c r="C27" s="795"/>
      <c r="D27" s="817"/>
      <c r="E27" s="420"/>
      <c r="F27" s="420"/>
      <c r="I27" s="421"/>
      <c r="J27" s="796"/>
      <c r="K27" s="793"/>
      <c r="L27" s="728"/>
      <c r="M27" s="425"/>
    </row>
    <row r="28" spans="1:13" s="312" customFormat="1" x14ac:dyDescent="0.25">
      <c r="A28" s="972" t="s">
        <v>469</v>
      </c>
      <c r="B28" s="973"/>
      <c r="C28" s="973"/>
      <c r="D28" s="973"/>
      <c r="E28" s="973"/>
      <c r="F28" s="973"/>
      <c r="G28" s="974"/>
      <c r="H28" s="719"/>
      <c r="M28" s="882"/>
    </row>
    <row r="29" spans="1:13" s="312" customFormat="1" x14ac:dyDescent="0.25">
      <c r="A29" s="895" t="s">
        <v>470</v>
      </c>
      <c r="B29" s="846"/>
      <c r="C29" s="846"/>
      <c r="D29" s="822"/>
      <c r="E29" s="639"/>
      <c r="F29" s="639"/>
      <c r="G29" s="896"/>
      <c r="H29" s="719"/>
      <c r="M29" s="882"/>
    </row>
    <row r="30" spans="1:13" s="312" customFormat="1" x14ac:dyDescent="0.25">
      <c r="A30" s="884" t="s">
        <v>471</v>
      </c>
      <c r="B30" s="799"/>
      <c r="C30" s="815">
        <f>D30*$B$16</f>
        <v>645750</v>
      </c>
      <c r="D30" s="818">
        <v>0.15</v>
      </c>
      <c r="E30" s="387" t="str">
        <f>TEXT(D30,"0.00")&amp;" x PE"</f>
        <v>0.15 x PE</v>
      </c>
      <c r="F30" s="348"/>
      <c r="G30" s="709" t="s">
        <v>650</v>
      </c>
      <c r="H30" s="719"/>
      <c r="I30" s="411"/>
      <c r="J30" s="751">
        <f>IF(ISNUMBER(B30),B30,C30)</f>
        <v>645750</v>
      </c>
      <c r="K30" s="830" t="s">
        <v>445</v>
      </c>
      <c r="L30" s="769" t="b">
        <v>0</v>
      </c>
      <c r="M30" s="415"/>
    </row>
    <row r="31" spans="1:13" s="312" customFormat="1" x14ac:dyDescent="0.25">
      <c r="A31" s="884" t="s">
        <v>472</v>
      </c>
      <c r="B31" s="799"/>
      <c r="C31" s="815">
        <f>D31*$B$16</f>
        <v>430500</v>
      </c>
      <c r="D31" s="818">
        <v>0.1</v>
      </c>
      <c r="E31" s="387" t="str">
        <f>TEXT(D31,"0.00")&amp;" x PE"</f>
        <v>0.10 x PE</v>
      </c>
      <c r="F31" s="348"/>
      <c r="G31" s="709" t="s">
        <v>651</v>
      </c>
      <c r="H31" s="719"/>
      <c r="I31" s="411"/>
      <c r="J31" s="751">
        <f>IF(ISNUMBER(B31),B31,C31)</f>
        <v>430500</v>
      </c>
      <c r="K31" s="830" t="s">
        <v>445</v>
      </c>
      <c r="L31" s="769" t="b">
        <v>0</v>
      </c>
      <c r="M31" s="415"/>
    </row>
    <row r="32" spans="1:13" s="312" customFormat="1" x14ac:dyDescent="0.25">
      <c r="A32" s="884" t="s">
        <v>473</v>
      </c>
      <c r="B32" s="799"/>
      <c r="C32" s="815">
        <f>D32*$B$16</f>
        <v>215250</v>
      </c>
      <c r="D32" s="818">
        <v>0.05</v>
      </c>
      <c r="E32" s="387" t="str">
        <f>TEXT(D32,"0.00")&amp;" x PE"</f>
        <v>0.05 x PE</v>
      </c>
      <c r="F32" s="348"/>
      <c r="G32" s="709" t="s">
        <v>652</v>
      </c>
      <c r="H32" s="719"/>
      <c r="I32" s="411"/>
      <c r="J32" s="751">
        <f>IF(ISNUMBER(B32),B32,C32)</f>
        <v>215250</v>
      </c>
      <c r="K32" s="830" t="s">
        <v>445</v>
      </c>
      <c r="L32" s="769" t="b">
        <v>0</v>
      </c>
      <c r="M32" s="415"/>
    </row>
    <row r="33" spans="1:13" s="312" customFormat="1" x14ac:dyDescent="0.25">
      <c r="A33" s="355" t="s">
        <v>474</v>
      </c>
      <c r="B33" s="776"/>
      <c r="C33" s="797">
        <f>D33*$B$16</f>
        <v>43050</v>
      </c>
      <c r="D33" s="816">
        <v>0.01</v>
      </c>
      <c r="E33" s="388" t="str">
        <f>TEXT(D33,"0.00")&amp;" x PE"</f>
        <v>0.01 x PE</v>
      </c>
      <c r="F33" s="360"/>
      <c r="G33" s="709" t="s">
        <v>653</v>
      </c>
      <c r="H33" s="719"/>
      <c r="I33" s="411"/>
      <c r="J33" s="751">
        <f>IF(ISNUMBER(B33),B33,C33)</f>
        <v>43050</v>
      </c>
      <c r="K33" s="830" t="s">
        <v>445</v>
      </c>
      <c r="L33" s="769" t="b">
        <v>0</v>
      </c>
      <c r="M33" s="415"/>
    </row>
    <row r="34" spans="1:13" s="312" customFormat="1" x14ac:dyDescent="0.25">
      <c r="A34" s="897" t="s">
        <v>475</v>
      </c>
      <c r="B34" s="777"/>
      <c r="C34" s="798">
        <f>D34*$B$16</f>
        <v>43050</v>
      </c>
      <c r="D34" s="819">
        <v>0.01</v>
      </c>
      <c r="E34" s="438" t="str">
        <f>TEXT(D34,"0.00")&amp;" x PE"</f>
        <v>0.01 x PE</v>
      </c>
      <c r="F34" s="439"/>
      <c r="G34" s="710" t="s">
        <v>654</v>
      </c>
      <c r="H34" s="719"/>
      <c r="I34" s="411"/>
      <c r="J34" s="751">
        <f>IF(ISNUMBER(B34),B34,C34)</f>
        <v>43050</v>
      </c>
      <c r="K34" s="830" t="s">
        <v>445</v>
      </c>
      <c r="L34" s="769" t="b">
        <v>0</v>
      </c>
      <c r="M34" s="415"/>
    </row>
    <row r="35" spans="1:13" s="312" customFormat="1" x14ac:dyDescent="0.25">
      <c r="A35" s="764" t="s">
        <v>476</v>
      </c>
      <c r="B35" s="765">
        <f>J35</f>
        <v>1377600</v>
      </c>
      <c r="C35" s="898"/>
      <c r="D35" s="442" t="s">
        <v>443</v>
      </c>
      <c r="E35" s="443" t="s">
        <v>477</v>
      </c>
      <c r="F35" s="444"/>
      <c r="G35" s="889"/>
      <c r="H35" s="719"/>
      <c r="I35" s="411"/>
      <c r="J35" s="750">
        <f>SUM(J30:J34)</f>
        <v>1377600</v>
      </c>
      <c r="K35" s="830" t="s">
        <v>445</v>
      </c>
      <c r="L35" s="769"/>
      <c r="M35" s="415"/>
    </row>
    <row r="36" spans="1:13" s="312" customFormat="1" x14ac:dyDescent="0.25">
      <c r="G36" s="899"/>
    </row>
    <row r="37" spans="1:13" s="312" customFormat="1" x14ac:dyDescent="0.25">
      <c r="A37" s="895" t="s">
        <v>478</v>
      </c>
      <c r="B37" s="846"/>
      <c r="C37" s="846"/>
      <c r="D37" s="822"/>
      <c r="E37" s="639"/>
      <c r="F37" s="639"/>
      <c r="G37" s="896"/>
      <c r="H37" s="719"/>
      <c r="M37" s="882"/>
    </row>
    <row r="38" spans="1:13" s="720" customFormat="1" x14ac:dyDescent="0.25">
      <c r="A38" s="446" t="s">
        <v>77</v>
      </c>
      <c r="B38" s="900"/>
      <c r="C38" s="901">
        <f>D38*(B26+B35)</f>
        <v>1278877.5</v>
      </c>
      <c r="D38" s="712">
        <v>0.15</v>
      </c>
      <c r="E38" s="450" t="str">
        <f>"E = "&amp;TEXT(D38,"0.00") &amp;" x (DC+IC)"</f>
        <v>E = 0.15 x (DC+IC)</v>
      </c>
      <c r="F38" s="451"/>
      <c r="G38" s="902" t="s">
        <v>479</v>
      </c>
      <c r="I38" s="454"/>
      <c r="J38" s="751">
        <f>IF(ISNUMBER(B38),B38,C38)</f>
        <v>1278877.5</v>
      </c>
      <c r="K38" s="830" t="s">
        <v>445</v>
      </c>
      <c r="L38" s="769"/>
      <c r="M38" s="791"/>
    </row>
    <row r="39" spans="1:13" s="720" customFormat="1" x14ac:dyDescent="0.25">
      <c r="A39" s="446" t="s">
        <v>86</v>
      </c>
      <c r="B39" s="900"/>
      <c r="C39" s="901">
        <f>D39*SUM(B26,B35,J38)</f>
        <v>196094.55000000002</v>
      </c>
      <c r="D39" s="712">
        <v>0.02</v>
      </c>
      <c r="E39" s="837" t="str">
        <f>"F = "&amp;TEXT(D39,"0.00")&amp;" x (DC+IC+Cont)"</f>
        <v>F = 0.02 x (DC+IC+Cont)</v>
      </c>
      <c r="F39" s="457"/>
      <c r="G39" s="903" t="s">
        <v>480</v>
      </c>
      <c r="I39" s="454"/>
      <c r="J39" s="751">
        <f>IF(ISNUMBER(B39),B39,C39)</f>
        <v>196094.55000000002</v>
      </c>
      <c r="K39" s="830" t="s">
        <v>445</v>
      </c>
      <c r="L39" s="769"/>
      <c r="M39" s="791"/>
    </row>
    <row r="40" spans="1:13" s="720" customFormat="1" x14ac:dyDescent="0.25">
      <c r="A40" s="458" t="s">
        <v>481</v>
      </c>
      <c r="B40" s="825"/>
      <c r="C40" s="904">
        <f>J135*J134</f>
        <v>4076.6271870703458</v>
      </c>
      <c r="D40" s="711" t="s">
        <v>443</v>
      </c>
      <c r="E40" s="829" t="s">
        <v>482</v>
      </c>
      <c r="F40" s="463"/>
      <c r="G40" s="905" t="s">
        <v>483</v>
      </c>
      <c r="I40" s="454"/>
      <c r="J40" s="751">
        <f>IF(ISNUMBER(B40),B40,C40)</f>
        <v>4076.6271870703458</v>
      </c>
      <c r="K40" s="830" t="s">
        <v>445</v>
      </c>
      <c r="L40" s="769"/>
      <c r="M40" s="465" t="s">
        <v>484</v>
      </c>
    </row>
    <row r="41" spans="1:13" s="720" customFormat="1" ht="15.75" customHeight="1" x14ac:dyDescent="0.25">
      <c r="A41" s="733" t="s">
        <v>43</v>
      </c>
      <c r="B41" s="753">
        <f>J41</f>
        <v>10004898.67718707</v>
      </c>
      <c r="C41" s="906"/>
      <c r="D41" s="461" t="s">
        <v>443</v>
      </c>
      <c r="E41" s="828" t="s">
        <v>485</v>
      </c>
      <c r="F41" s="734"/>
      <c r="G41" s="889"/>
      <c r="I41" s="454"/>
      <c r="J41" s="750">
        <f>SUM(J26,J35,J38,J39,J40)</f>
        <v>10004898.67718707</v>
      </c>
      <c r="K41" s="830" t="s">
        <v>445</v>
      </c>
      <c r="L41" s="769"/>
      <c r="M41" s="791"/>
    </row>
    <row r="42" spans="1:13" x14ac:dyDescent="0.25">
      <c r="D42" s="820"/>
      <c r="I42" s="312"/>
      <c r="J42" s="312"/>
      <c r="K42" s="312"/>
      <c r="L42" s="312"/>
      <c r="M42" s="882"/>
    </row>
    <row r="43" spans="1:13" s="312" customFormat="1" x14ac:dyDescent="0.25">
      <c r="A43" s="972" t="s">
        <v>486</v>
      </c>
      <c r="B43" s="973"/>
      <c r="C43" s="973"/>
      <c r="D43" s="973"/>
      <c r="E43" s="973"/>
      <c r="F43" s="973"/>
      <c r="G43" s="974"/>
      <c r="H43" s="473"/>
      <c r="M43" s="882"/>
    </row>
    <row r="44" spans="1:13" s="312" customFormat="1" x14ac:dyDescent="0.25">
      <c r="A44" s="895" t="s">
        <v>487</v>
      </c>
      <c r="B44" s="639"/>
      <c r="C44" s="639"/>
      <c r="D44" s="475"/>
      <c r="E44" s="639"/>
      <c r="F44" s="639"/>
      <c r="G44" s="896"/>
      <c r="H44" s="719"/>
      <c r="M44" s="882"/>
    </row>
    <row r="45" spans="1:13" s="720" customFormat="1" ht="30" x14ac:dyDescent="0.25">
      <c r="A45" s="476" t="s">
        <v>3</v>
      </c>
      <c r="B45" s="900"/>
      <c r="C45" s="946"/>
      <c r="D45" s="947" t="s">
        <v>443</v>
      </c>
      <c r="E45" s="948"/>
      <c r="F45" s="949"/>
      <c r="G45" s="908" t="s">
        <v>662</v>
      </c>
      <c r="I45" s="454"/>
      <c r="J45" s="751">
        <f t="shared" ref="J45:J54" si="3">IF(ISNUMBER(B45),B45,C45)</f>
        <v>0</v>
      </c>
      <c r="K45" s="751"/>
      <c r="L45" s="804" t="str">
        <f>IF(B45="","Req'd")</f>
        <v>Req'd</v>
      </c>
      <c r="M45" s="354" t="s">
        <v>446</v>
      </c>
    </row>
    <row r="46" spans="1:13" s="720" customFormat="1" x14ac:dyDescent="0.25">
      <c r="A46" s="482" t="s">
        <v>488</v>
      </c>
      <c r="B46" s="909"/>
      <c r="C46" s="907">
        <f>J45*D46</f>
        <v>0</v>
      </c>
      <c r="D46" s="485">
        <v>0.15</v>
      </c>
      <c r="E46" s="486" t="s">
        <v>489</v>
      </c>
      <c r="F46" s="761"/>
      <c r="G46" s="903" t="s">
        <v>490</v>
      </c>
      <c r="I46" s="454"/>
      <c r="J46" s="751">
        <f t="shared" si="3"/>
        <v>0</v>
      </c>
      <c r="K46" s="751"/>
      <c r="L46" s="769"/>
      <c r="M46" s="354" t="s">
        <v>446</v>
      </c>
    </row>
    <row r="47" spans="1:13" s="720" customFormat="1" x14ac:dyDescent="0.25">
      <c r="A47" s="476" t="s">
        <v>491</v>
      </c>
      <c r="B47" s="900"/>
      <c r="C47" s="907">
        <f>B41*D47</f>
        <v>150073.48015780604</v>
      </c>
      <c r="D47" s="488">
        <v>1.4999999999999999E-2</v>
      </c>
      <c r="E47" s="479" t="str">
        <f>TEXT(D47,"0.000")&amp;" x TCI"</f>
        <v>0.015 x TCI</v>
      </c>
      <c r="F47" s="838"/>
      <c r="G47" s="903" t="s">
        <v>492</v>
      </c>
      <c r="I47" s="454"/>
      <c r="J47" s="751">
        <f t="shared" si="3"/>
        <v>150073.48015780604</v>
      </c>
      <c r="K47" s="751"/>
      <c r="L47" s="769"/>
      <c r="M47" s="791"/>
    </row>
    <row r="48" spans="1:13" s="720" customFormat="1" x14ac:dyDescent="0.25">
      <c r="A48" s="476" t="s">
        <v>493</v>
      </c>
      <c r="B48" s="900"/>
      <c r="C48" s="907">
        <f>J47</f>
        <v>150073.48015780604</v>
      </c>
      <c r="D48" s="485" t="s">
        <v>443</v>
      </c>
      <c r="E48" s="486" t="s">
        <v>494</v>
      </c>
      <c r="F48" s="838"/>
      <c r="G48" s="903" t="s">
        <v>495</v>
      </c>
      <c r="I48" s="454"/>
      <c r="J48" s="751">
        <f t="shared" si="3"/>
        <v>150073.48015780604</v>
      </c>
      <c r="K48" s="751"/>
      <c r="L48" s="769"/>
      <c r="M48" s="791"/>
    </row>
    <row r="49" spans="1:13" x14ac:dyDescent="0.25">
      <c r="A49" s="482" t="s">
        <v>496</v>
      </c>
      <c r="B49" s="909"/>
      <c r="C49" s="907">
        <f>J134*J138*J119</f>
        <v>106283.49452004831</v>
      </c>
      <c r="D49" s="485" t="s">
        <v>443</v>
      </c>
      <c r="E49" s="489" t="s">
        <v>497</v>
      </c>
      <c r="F49" s="761"/>
      <c r="G49" s="910" t="s">
        <v>483</v>
      </c>
      <c r="H49" s="718"/>
      <c r="I49" s="454"/>
      <c r="J49" s="751">
        <f t="shared" si="3"/>
        <v>106283.49452004831</v>
      </c>
      <c r="K49" s="751"/>
      <c r="L49" s="769"/>
      <c r="M49" s="491" t="s">
        <v>498</v>
      </c>
    </row>
    <row r="50" spans="1:13" x14ac:dyDescent="0.25">
      <c r="A50" s="492" t="s">
        <v>499</v>
      </c>
      <c r="B50" s="909"/>
      <c r="C50" s="907">
        <f>J123*J130*J119</f>
        <v>188136.65859227502</v>
      </c>
      <c r="D50" s="485" t="s">
        <v>443</v>
      </c>
      <c r="E50" s="493" t="s">
        <v>483</v>
      </c>
      <c r="F50" s="735"/>
      <c r="G50" s="910" t="s">
        <v>483</v>
      </c>
      <c r="H50" s="718"/>
      <c r="I50" s="772"/>
      <c r="J50" s="751">
        <f t="shared" si="3"/>
        <v>188136.65859227502</v>
      </c>
      <c r="K50" s="751"/>
      <c r="L50" s="769"/>
      <c r="M50" s="491" t="s">
        <v>500</v>
      </c>
    </row>
    <row r="51" spans="1:13" x14ac:dyDescent="0.25">
      <c r="A51" s="482" t="s">
        <v>8</v>
      </c>
      <c r="B51" s="909"/>
      <c r="C51" s="911">
        <f>J150</f>
        <v>78424.482386674252</v>
      </c>
      <c r="D51" s="485" t="s">
        <v>443</v>
      </c>
      <c r="E51" s="489" t="s">
        <v>483</v>
      </c>
      <c r="F51" s="761"/>
      <c r="G51" s="910" t="s">
        <v>483</v>
      </c>
      <c r="H51" s="718"/>
      <c r="I51" s="497"/>
      <c r="J51" s="751">
        <f t="shared" si="3"/>
        <v>78424.482386674252</v>
      </c>
      <c r="K51" s="751"/>
      <c r="L51" s="769"/>
      <c r="M51" s="791"/>
    </row>
    <row r="52" spans="1:13" x14ac:dyDescent="0.25">
      <c r="A52" s="482" t="s">
        <v>501</v>
      </c>
      <c r="B52" s="909"/>
      <c r="C52" s="907">
        <f>J51*D52</f>
        <v>7842.4482386674254</v>
      </c>
      <c r="D52" s="485">
        <v>0.1</v>
      </c>
      <c r="E52" s="479" t="str">
        <f>TEXT(D52,"0.000")&amp;" x Cat Repl"</f>
        <v>0.100 x Cat Repl</v>
      </c>
      <c r="F52" s="761"/>
      <c r="G52" s="910" t="s">
        <v>502</v>
      </c>
      <c r="H52" s="718"/>
      <c r="I52" s="497"/>
      <c r="J52" s="751">
        <f t="shared" si="3"/>
        <v>7842.4482386674254</v>
      </c>
      <c r="K52" s="751"/>
      <c r="L52" s="852"/>
      <c r="M52" s="853"/>
    </row>
    <row r="53" spans="1:13" x14ac:dyDescent="0.25">
      <c r="A53" s="482" t="s">
        <v>503</v>
      </c>
      <c r="B53" s="909"/>
      <c r="C53" s="950"/>
      <c r="D53" s="951" t="s">
        <v>443</v>
      </c>
      <c r="E53" s="952"/>
      <c r="F53" s="953"/>
      <c r="G53" s="903"/>
      <c r="H53" s="720"/>
      <c r="I53" s="454"/>
      <c r="J53" s="751">
        <f t="shared" si="3"/>
        <v>0</v>
      </c>
      <c r="K53" s="751"/>
      <c r="L53" s="804" t="str">
        <f>IF(B53="","Req'd")</f>
        <v>Req'd</v>
      </c>
      <c r="M53" s="354" t="s">
        <v>446</v>
      </c>
    </row>
    <row r="54" spans="1:13" x14ac:dyDescent="0.25">
      <c r="A54" s="501" t="s">
        <v>504</v>
      </c>
      <c r="B54" s="912"/>
      <c r="C54" s="954"/>
      <c r="D54" s="955" t="s">
        <v>443</v>
      </c>
      <c r="E54" s="956"/>
      <c r="F54" s="957"/>
      <c r="G54" s="914"/>
      <c r="H54" s="720"/>
      <c r="I54" s="454"/>
      <c r="J54" s="751">
        <f t="shared" si="3"/>
        <v>0</v>
      </c>
      <c r="K54" s="751"/>
      <c r="L54" s="804" t="str">
        <f>IF(B54="","Req'd")</f>
        <v>Req'd</v>
      </c>
      <c r="M54" s="354" t="s">
        <v>446</v>
      </c>
    </row>
    <row r="55" spans="1:13" x14ac:dyDescent="0.25">
      <c r="A55" s="733" t="s">
        <v>104</v>
      </c>
      <c r="B55" s="753">
        <f>J55</f>
        <v>680834.04405327712</v>
      </c>
      <c r="C55" s="915"/>
      <c r="D55" s="461" t="s">
        <v>443</v>
      </c>
      <c r="E55" s="749" t="s">
        <v>505</v>
      </c>
      <c r="F55" s="444"/>
      <c r="G55" s="889"/>
      <c r="H55" s="718"/>
      <c r="I55" s="454"/>
      <c r="J55" s="750">
        <f>SUM(J45:J54)</f>
        <v>680834.04405327712</v>
      </c>
      <c r="K55" s="750"/>
      <c r="L55" s="769"/>
      <c r="M55" s="791"/>
    </row>
    <row r="56" spans="1:13" x14ac:dyDescent="0.25">
      <c r="A56" s="731"/>
      <c r="B56" s="840"/>
      <c r="C56" s="840"/>
      <c r="D56" s="512"/>
      <c r="E56" s="841"/>
      <c r="F56" s="514"/>
      <c r="H56" s="718"/>
      <c r="I56" s="515"/>
      <c r="J56" s="793"/>
      <c r="K56" s="793"/>
      <c r="L56" s="728"/>
      <c r="M56" s="842"/>
    </row>
    <row r="57" spans="1:13" s="312" customFormat="1" x14ac:dyDescent="0.25">
      <c r="A57" s="972" t="s">
        <v>106</v>
      </c>
      <c r="B57" s="973"/>
      <c r="C57" s="973"/>
      <c r="D57" s="973"/>
      <c r="E57" s="973"/>
      <c r="F57" s="973"/>
      <c r="G57" s="974"/>
      <c r="H57" s="719"/>
      <c r="M57" s="882"/>
    </row>
    <row r="58" spans="1:13" s="312" customFormat="1" x14ac:dyDescent="0.25">
      <c r="A58" s="895" t="s">
        <v>506</v>
      </c>
      <c r="B58" s="639"/>
      <c r="C58" s="639"/>
      <c r="D58" s="475"/>
      <c r="E58" s="639"/>
      <c r="F58" s="639"/>
      <c r="G58" s="896"/>
      <c r="H58" s="719"/>
      <c r="M58" s="882"/>
    </row>
    <row r="59" spans="1:13" s="720" customFormat="1" x14ac:dyDescent="0.25">
      <c r="A59" s="476" t="s">
        <v>507</v>
      </c>
      <c r="B59" s="858"/>
      <c r="C59" s="907">
        <f>SUM(J45:J48)*D59</f>
        <v>180088.17618936725</v>
      </c>
      <c r="D59" s="488">
        <v>0.6</v>
      </c>
      <c r="E59" s="479" t="str">
        <f>TEXT(D59,"0.000")&amp;" x Op/Super/Maint Labor &amp; Mtls"</f>
        <v>0.600 x Op/Super/Maint Labor &amp; Mtls</v>
      </c>
      <c r="F59" s="838"/>
      <c r="G59" s="902" t="s">
        <v>508</v>
      </c>
      <c r="I59" s="454"/>
      <c r="J59" s="751">
        <f>IF(ISNUMBER(B59),B59,C59)</f>
        <v>180088.17618936725</v>
      </c>
      <c r="K59" s="751"/>
      <c r="L59" s="769"/>
      <c r="M59" s="791"/>
    </row>
    <row r="60" spans="1:13" s="720" customFormat="1" x14ac:dyDescent="0.25">
      <c r="A60" s="482" t="s">
        <v>509</v>
      </c>
      <c r="B60" s="779"/>
      <c r="C60" s="907">
        <f>B41*D60</f>
        <v>100048.98677187071</v>
      </c>
      <c r="D60" s="488">
        <v>0.01</v>
      </c>
      <c r="E60" s="479" t="str">
        <f>TEXT(D60,"0.0000")&amp;" x TCI"</f>
        <v>0.0100 x TCI</v>
      </c>
      <c r="F60" s="838"/>
      <c r="G60" s="903" t="s">
        <v>510</v>
      </c>
      <c r="H60" s="849"/>
      <c r="I60" s="454"/>
      <c r="J60" s="751">
        <f>IF(ISNUMBER(B60),B60,C60)</f>
        <v>100048.98677187071</v>
      </c>
      <c r="K60" s="751"/>
      <c r="L60" s="769"/>
      <c r="M60" s="791"/>
    </row>
    <row r="61" spans="1:13" s="720" customFormat="1" x14ac:dyDescent="0.25">
      <c r="A61" s="476" t="s">
        <v>511</v>
      </c>
      <c r="B61" s="836"/>
      <c r="C61" s="907">
        <f>B41*D61</f>
        <v>100048.98677187071</v>
      </c>
      <c r="D61" s="488">
        <v>0.01</v>
      </c>
      <c r="E61" s="479" t="str">
        <f>TEXT(D61,"0.000")&amp;" x TCI"</f>
        <v>0.010 x TCI</v>
      </c>
      <c r="F61" s="838"/>
      <c r="G61" s="903" t="s">
        <v>510</v>
      </c>
      <c r="I61" s="454"/>
      <c r="J61" s="751">
        <f>IF(ISNUMBER(B61),B61,C61)</f>
        <v>100048.98677187071</v>
      </c>
      <c r="K61" s="751"/>
      <c r="L61" s="769"/>
      <c r="M61" s="791"/>
    </row>
    <row r="62" spans="1:13" x14ac:dyDescent="0.25">
      <c r="A62" s="521" t="s">
        <v>512</v>
      </c>
      <c r="B62" s="780"/>
      <c r="C62" s="913">
        <f>B41*D62</f>
        <v>200097.97354374142</v>
      </c>
      <c r="D62" s="524">
        <v>0.02</v>
      </c>
      <c r="E62" s="505" t="str">
        <f>TEXT(D62,"0.000")&amp;" x TCI"</f>
        <v>0.020 x TCI</v>
      </c>
      <c r="F62" s="763"/>
      <c r="G62" s="914" t="s">
        <v>513</v>
      </c>
      <c r="H62" s="720"/>
      <c r="I62" s="454"/>
      <c r="J62" s="751">
        <f>IF(ISNUMBER(B62),B62,C62)</f>
        <v>200097.97354374142</v>
      </c>
      <c r="K62" s="751"/>
      <c r="L62" s="769"/>
      <c r="M62" s="791"/>
    </row>
    <row r="63" spans="1:13" x14ac:dyDescent="0.25">
      <c r="A63" s="733" t="s">
        <v>514</v>
      </c>
      <c r="B63" s="753">
        <f>J63</f>
        <v>580284.12327685009</v>
      </c>
      <c r="C63" s="915"/>
      <c r="D63" s="461" t="s">
        <v>443</v>
      </c>
      <c r="E63" s="749" t="s">
        <v>505</v>
      </c>
      <c r="F63" s="444"/>
      <c r="G63" s="889"/>
      <c r="H63" s="718"/>
      <c r="I63" s="454"/>
      <c r="J63" s="750">
        <f>SUM(J59:J62)</f>
        <v>580284.12327685009</v>
      </c>
      <c r="K63" s="750"/>
      <c r="L63" s="769"/>
      <c r="M63" s="791"/>
    </row>
    <row r="64" spans="1:13" x14ac:dyDescent="0.25">
      <c r="A64" s="731"/>
      <c r="B64" s="840"/>
      <c r="C64" s="840"/>
      <c r="D64" s="512"/>
      <c r="E64" s="841"/>
      <c r="F64" s="514"/>
      <c r="H64" s="718"/>
      <c r="I64" s="515"/>
      <c r="J64" s="793"/>
      <c r="K64" s="793"/>
      <c r="L64" s="728"/>
      <c r="M64" s="842"/>
    </row>
    <row r="65" spans="1:13" x14ac:dyDescent="0.25">
      <c r="A65" s="972" t="s">
        <v>515</v>
      </c>
      <c r="B65" s="973"/>
      <c r="C65" s="973"/>
      <c r="D65" s="973"/>
      <c r="E65" s="973"/>
      <c r="F65" s="973"/>
      <c r="G65" s="974"/>
      <c r="H65" s="312"/>
      <c r="I65" s="312"/>
      <c r="J65" s="312"/>
      <c r="K65" s="312"/>
      <c r="L65" s="312"/>
      <c r="M65" s="882"/>
    </row>
    <row r="66" spans="1:13" x14ac:dyDescent="0.25">
      <c r="A66" s="525" t="s">
        <v>516</v>
      </c>
      <c r="B66" s="778"/>
      <c r="C66" s="916">
        <v>25</v>
      </c>
      <c r="D66" s="528" t="s">
        <v>443</v>
      </c>
      <c r="E66" s="758" t="s">
        <v>517</v>
      </c>
      <c r="F66" s="759"/>
      <c r="G66" s="910" t="s">
        <v>663</v>
      </c>
      <c r="H66" s="312"/>
      <c r="I66" s="771"/>
      <c r="J66" s="533">
        <f>IF(ISNUMBER(B66),B66,C66)</f>
        <v>25</v>
      </c>
      <c r="K66" s="534" t="s">
        <v>518</v>
      </c>
      <c r="L66" s="535" t="b">
        <v>0</v>
      </c>
      <c r="M66" s="415"/>
    </row>
    <row r="67" spans="1:13" ht="45" x14ac:dyDescent="0.25">
      <c r="A67" s="536" t="s">
        <v>31</v>
      </c>
      <c r="B67" s="917">
        <v>3.2500000000000001E-2</v>
      </c>
      <c r="C67" s="918">
        <v>7.0000000000000007E-2</v>
      </c>
      <c r="D67" s="485" t="s">
        <v>443</v>
      </c>
      <c r="E67" s="760" t="s">
        <v>519</v>
      </c>
      <c r="F67" s="761"/>
      <c r="G67" s="903" t="s">
        <v>394</v>
      </c>
      <c r="H67" s="312"/>
      <c r="I67" s="771"/>
      <c r="J67" s="533">
        <f>IF(ISNUMBER(B67),B67,C67)</f>
        <v>3.2500000000000001E-2</v>
      </c>
      <c r="K67" s="534" t="s">
        <v>520</v>
      </c>
      <c r="L67" s="535" t="b">
        <v>0</v>
      </c>
      <c r="M67" s="415"/>
    </row>
    <row r="68" spans="1:13" ht="15" customHeight="1" x14ac:dyDescent="0.25">
      <c r="A68" s="540" t="s">
        <v>122</v>
      </c>
      <c r="B68" s="919">
        <f>J67/(1-(1+J67)^-J66)</f>
        <v>5.9039325274868763E-2</v>
      </c>
      <c r="C68" s="920"/>
      <c r="D68" s="824" t="s">
        <v>443</v>
      </c>
      <c r="E68" s="762" t="s">
        <v>521</v>
      </c>
      <c r="F68" s="763"/>
      <c r="G68" s="905" t="s">
        <v>443</v>
      </c>
      <c r="I68" s="771"/>
      <c r="J68" s="743"/>
      <c r="K68" s="743"/>
      <c r="L68" s="770"/>
      <c r="M68" s="792"/>
    </row>
    <row r="69" spans="1:13" x14ac:dyDescent="0.25">
      <c r="A69" s="732" t="s">
        <v>28</v>
      </c>
      <c r="B69" s="768">
        <f>B68*B41</f>
        <v>590682.4673445517</v>
      </c>
      <c r="C69" s="921"/>
      <c r="D69" s="461" t="s">
        <v>443</v>
      </c>
      <c r="E69" s="748"/>
      <c r="F69" s="552"/>
      <c r="G69" s="889" t="s">
        <v>522</v>
      </c>
      <c r="H69" s="718"/>
      <c r="I69" s="454"/>
      <c r="J69" s="750">
        <f>IF(ISNUMBER(B69),B69,C69)</f>
        <v>590682.4673445517</v>
      </c>
      <c r="K69" s="750"/>
      <c r="L69" s="769"/>
      <c r="M69" s="465" t="s">
        <v>523</v>
      </c>
    </row>
    <row r="70" spans="1:13" s="312" customFormat="1" x14ac:dyDescent="0.25">
      <c r="D70" s="553"/>
      <c r="G70" s="716"/>
      <c r="M70" s="882"/>
    </row>
    <row r="71" spans="1:13" s="720" customFormat="1" x14ac:dyDescent="0.25">
      <c r="A71" s="732" t="s">
        <v>108</v>
      </c>
      <c r="B71" s="768">
        <f>SUM(B55,B63, B69)</f>
        <v>1851800.634674679</v>
      </c>
      <c r="C71" s="921"/>
      <c r="D71" s="823" t="s">
        <v>443</v>
      </c>
      <c r="E71" s="773" t="s">
        <v>524</v>
      </c>
      <c r="F71" s="556"/>
      <c r="G71" s="889" t="s">
        <v>525</v>
      </c>
      <c r="I71" s="454"/>
      <c r="J71" s="752">
        <f>SUM(J55,J63, J69)</f>
        <v>1851800.634674679</v>
      </c>
      <c r="K71" s="752" t="s">
        <v>526</v>
      </c>
      <c r="L71" s="769"/>
      <c r="M71" s="465" t="s">
        <v>527</v>
      </c>
    </row>
    <row r="72" spans="1:13" s="720" customFormat="1" x14ac:dyDescent="0.25">
      <c r="A72" s="558"/>
      <c r="B72" s="562"/>
      <c r="C72" s="729"/>
      <c r="D72" s="729"/>
      <c r="E72" s="562"/>
      <c r="F72" s="563"/>
      <c r="G72" s="716"/>
      <c r="H72" s="564"/>
      <c r="I72" s="725"/>
      <c r="J72" s="562"/>
      <c r="K72" s="562"/>
      <c r="L72" s="725"/>
      <c r="M72" s="725"/>
    </row>
    <row r="73" spans="1:13" s="312" customFormat="1" ht="16.5" thickBot="1" x14ac:dyDescent="0.3">
      <c r="A73" s="721" t="s">
        <v>528</v>
      </c>
      <c r="B73" s="722"/>
      <c r="C73" s="722"/>
      <c r="D73" s="722"/>
      <c r="E73" s="722"/>
      <c r="F73" s="722"/>
      <c r="G73" s="860"/>
    </row>
    <row r="74" spans="1:13" s="723" customFormat="1" ht="15.75" thickTop="1" x14ac:dyDescent="0.25">
      <c r="A74" s="731"/>
      <c r="B74" s="660"/>
      <c r="C74" s="569"/>
      <c r="D74" s="569"/>
      <c r="E74" s="569"/>
      <c r="F74" s="569"/>
      <c r="G74" s="868" t="s">
        <v>435</v>
      </c>
      <c r="H74" s="312"/>
      <c r="I74" s="312"/>
      <c r="J74" s="312"/>
      <c r="K74" s="312"/>
      <c r="L74" s="312"/>
      <c r="M74" s="312"/>
    </row>
    <row r="75" spans="1:13" s="720" customFormat="1" x14ac:dyDescent="0.25">
      <c r="A75" s="572" t="s">
        <v>529</v>
      </c>
      <c r="B75" s="922">
        <f>$J$93*$J$98*$J$119/2000+IF(J94&gt;0,$J$94*$J$103*$J$119/2000)</f>
        <v>103.49812957591723</v>
      </c>
      <c r="C75" s="564"/>
      <c r="D75" s="564"/>
      <c r="F75" s="312"/>
      <c r="G75" s="923" t="s">
        <v>530</v>
      </c>
      <c r="H75" s="312"/>
      <c r="I75" s="454"/>
      <c r="J75" s="752"/>
      <c r="K75" s="752"/>
      <c r="L75" s="769"/>
      <c r="M75" s="465"/>
    </row>
    <row r="76" spans="1:13" s="720" customFormat="1" x14ac:dyDescent="0.25">
      <c r="A76" s="575" t="s">
        <v>531</v>
      </c>
      <c r="B76" s="922">
        <f>SUM($J$93:$J$94)*J108*$J$119/2000</f>
        <v>13.799750610122297</v>
      </c>
      <c r="C76" s="564"/>
      <c r="D76" s="564"/>
      <c r="F76" s="577"/>
      <c r="G76" s="923" t="s">
        <v>530</v>
      </c>
      <c r="H76" s="564"/>
      <c r="I76" s="454"/>
      <c r="J76" s="752"/>
      <c r="K76" s="752"/>
      <c r="L76" s="769"/>
      <c r="M76" s="465"/>
    </row>
    <row r="77" spans="1:13" s="720" customFormat="1" x14ac:dyDescent="0.25">
      <c r="A77" s="578" t="s">
        <v>532</v>
      </c>
      <c r="B77" s="924">
        <f>B75-B76</f>
        <v>89.69837896579493</v>
      </c>
      <c r="C77" s="564"/>
      <c r="D77" s="564"/>
      <c r="F77" s="312"/>
      <c r="G77" s="923" t="s">
        <v>530</v>
      </c>
      <c r="H77" s="312"/>
      <c r="I77" s="454"/>
      <c r="J77" s="752"/>
      <c r="K77" s="752"/>
      <c r="L77" s="769"/>
      <c r="M77" s="465"/>
    </row>
    <row r="78" spans="1:13" s="720" customFormat="1" x14ac:dyDescent="0.25">
      <c r="A78" s="581"/>
      <c r="B78" s="925"/>
      <c r="C78" s="564"/>
      <c r="D78" s="564"/>
      <c r="F78" s="312"/>
      <c r="G78" s="716"/>
      <c r="H78" s="312"/>
      <c r="I78" s="725"/>
      <c r="J78" s="312"/>
      <c r="K78" s="312"/>
      <c r="L78" s="725"/>
      <c r="M78" s="725"/>
    </row>
    <row r="79" spans="1:13" s="720" customFormat="1" x14ac:dyDescent="0.25">
      <c r="A79" s="583" t="s">
        <v>108</v>
      </c>
      <c r="B79" s="926">
        <f>B71</f>
        <v>1851800.634674679</v>
      </c>
      <c r="C79" s="564"/>
      <c r="D79" s="564"/>
      <c r="F79" s="312"/>
      <c r="G79" s="923" t="s">
        <v>533</v>
      </c>
      <c r="H79" s="312"/>
      <c r="I79" s="454"/>
      <c r="J79" s="752"/>
      <c r="K79" s="752"/>
      <c r="L79" s="769"/>
      <c r="M79" s="465"/>
    </row>
    <row r="80" spans="1:13" s="720" customFormat="1" x14ac:dyDescent="0.25">
      <c r="A80" s="865" t="s">
        <v>534</v>
      </c>
      <c r="B80" s="866">
        <f>IF(B77=0,"",B79/B77)</f>
        <v>20644.750284515554</v>
      </c>
      <c r="C80" s="564"/>
      <c r="D80" s="312"/>
      <c r="G80" s="923" t="s">
        <v>535</v>
      </c>
      <c r="H80" s="724"/>
      <c r="I80" s="454"/>
      <c r="J80" s="752"/>
      <c r="K80" s="752"/>
      <c r="L80" s="769"/>
      <c r="M80" s="465"/>
    </row>
    <row r="81" spans="1:13" s="720" customFormat="1" hidden="1" x14ac:dyDescent="0.25">
      <c r="A81" s="588" t="s">
        <v>536</v>
      </c>
      <c r="B81" s="839"/>
      <c r="C81" s="564"/>
      <c r="D81" s="563"/>
      <c r="F81" s="563"/>
      <c r="G81" s="716"/>
      <c r="H81" s="564"/>
      <c r="I81" s="454"/>
      <c r="J81" s="752"/>
      <c r="K81" s="752"/>
      <c r="L81" s="775" t="str">
        <f>IF(B81="","Req'd")</f>
        <v>Req'd</v>
      </c>
      <c r="M81" s="465"/>
    </row>
    <row r="82" spans="1:13" s="720" customFormat="1" hidden="1" x14ac:dyDescent="0.25">
      <c r="A82" s="591"/>
      <c r="B82" s="927"/>
      <c r="C82" s="564"/>
      <c r="D82" s="563"/>
      <c r="F82" s="563"/>
      <c r="G82" s="716"/>
      <c r="H82" s="564"/>
      <c r="I82" s="725"/>
      <c r="J82" s="562"/>
      <c r="K82" s="562"/>
      <c r="L82" s="725"/>
      <c r="M82" s="725"/>
    </row>
    <row r="83" spans="1:13" s="720" customFormat="1" hidden="1" x14ac:dyDescent="0.25">
      <c r="A83" s="774" t="s">
        <v>537</v>
      </c>
      <c r="B83" s="928"/>
      <c r="C83" s="564"/>
      <c r="D83" s="596"/>
      <c r="E83" s="597"/>
      <c r="F83" s="598"/>
      <c r="G83" s="716"/>
      <c r="H83" s="564"/>
      <c r="I83" s="725"/>
      <c r="J83" s="562"/>
      <c r="K83" s="562"/>
      <c r="L83" s="725"/>
      <c r="M83" s="725"/>
    </row>
    <row r="84" spans="1:13" s="720" customFormat="1" ht="15.75" hidden="1" thickBot="1" x14ac:dyDescent="0.3">
      <c r="A84" s="599" t="str">
        <f>IF(B80="","TBD",IF(B80&gt;B81,"Project costs exceed BACT cost effectiveness threshold and may not be considered cost effective.","Project may be considered cost effective."))</f>
        <v>Project costs exceed BACT cost effectiveness threshold and may not be considered cost effective.</v>
      </c>
      <c r="B84" s="929"/>
      <c r="C84" s="564"/>
      <c r="D84" s="602"/>
      <c r="E84" s="602"/>
      <c r="F84" s="603"/>
      <c r="G84" s="716"/>
      <c r="H84" s="564"/>
      <c r="I84" s="725"/>
      <c r="J84" s="562"/>
      <c r="K84" s="562"/>
      <c r="L84" s="725"/>
      <c r="M84" s="725"/>
    </row>
    <row r="85" spans="1:13" s="720" customFormat="1" x14ac:dyDescent="0.25">
      <c r="A85" s="558"/>
      <c r="B85" s="563"/>
      <c r="C85" s="562"/>
      <c r="D85" s="562"/>
      <c r="E85" s="562"/>
      <c r="F85" s="563"/>
      <c r="G85" s="716"/>
      <c r="H85" s="564"/>
      <c r="I85" s="725"/>
      <c r="J85" s="562"/>
      <c r="K85" s="562"/>
      <c r="L85" s="725"/>
      <c r="M85" s="725"/>
    </row>
    <row r="86" spans="1:13" s="312" customFormat="1" ht="16.5" thickBot="1" x14ac:dyDescent="0.3">
      <c r="A86" s="721" t="s">
        <v>538</v>
      </c>
      <c r="B86" s="722"/>
      <c r="C86" s="722"/>
      <c r="D86" s="722"/>
      <c r="E86" s="722"/>
      <c r="F86" s="722"/>
      <c r="G86" s="930"/>
    </row>
    <row r="87" spans="1:13" ht="15.75" thickTop="1" x14ac:dyDescent="0.25">
      <c r="H87" s="312"/>
      <c r="J87" s="718"/>
      <c r="K87" s="718"/>
      <c r="M87" s="312"/>
    </row>
    <row r="88" spans="1:13" x14ac:dyDescent="0.25">
      <c r="A88" s="718" t="s">
        <v>539</v>
      </c>
      <c r="H88" s="312"/>
      <c r="I88" s="312"/>
      <c r="J88" s="312"/>
      <c r="K88" s="312"/>
      <c r="L88" s="312"/>
      <c r="M88" s="312"/>
    </row>
    <row r="89" spans="1:13" x14ac:dyDescent="0.25">
      <c r="A89" s="718" t="s">
        <v>540</v>
      </c>
      <c r="H89" s="312"/>
      <c r="I89" s="312"/>
      <c r="J89" s="312"/>
      <c r="K89" s="312"/>
      <c r="L89" s="312"/>
      <c r="M89" s="312"/>
    </row>
    <row r="90" spans="1:13" ht="8.25" customHeight="1" x14ac:dyDescent="0.25">
      <c r="H90" s="312"/>
      <c r="I90" s="312"/>
      <c r="J90" s="312"/>
      <c r="K90" s="312"/>
      <c r="L90" s="312"/>
      <c r="M90" s="312"/>
    </row>
    <row r="91" spans="1:13" x14ac:dyDescent="0.25">
      <c r="A91" s="755" t="s">
        <v>541</v>
      </c>
      <c r="B91" s="754"/>
      <c r="C91" s="754"/>
      <c r="D91" s="754"/>
      <c r="E91" s="754"/>
      <c r="F91" s="754"/>
      <c r="G91" s="931"/>
      <c r="H91" s="312"/>
      <c r="I91" s="740" t="s">
        <v>436</v>
      </c>
      <c r="J91" s="741" t="s">
        <v>437</v>
      </c>
      <c r="K91" s="788" t="s">
        <v>438</v>
      </c>
      <c r="L91" s="741" t="s">
        <v>439</v>
      </c>
      <c r="M91" s="742" t="s">
        <v>395</v>
      </c>
    </row>
    <row r="92" spans="1:13" x14ac:dyDescent="0.25">
      <c r="A92" s="756"/>
      <c r="B92" s="737"/>
      <c r="C92" s="737"/>
      <c r="D92" s="737"/>
      <c r="E92" s="737"/>
      <c r="F92" s="737"/>
      <c r="G92" s="868" t="s">
        <v>435</v>
      </c>
      <c r="H92" s="312"/>
      <c r="I92" s="740"/>
      <c r="J92" s="741"/>
      <c r="K92" s="788"/>
      <c r="L92" s="741"/>
      <c r="M92" s="790"/>
    </row>
    <row r="93" spans="1:13" x14ac:dyDescent="0.25">
      <c r="A93" s="718" t="s">
        <v>542</v>
      </c>
      <c r="B93" s="843">
        <f>'PowerGen Comp'!C10</f>
        <v>430</v>
      </c>
      <c r="C93" s="738" t="s">
        <v>53</v>
      </c>
      <c r="D93" s="738"/>
      <c r="G93" s="932"/>
      <c r="H93" s="312"/>
      <c r="I93" s="411"/>
      <c r="J93" s="743">
        <f>B93</f>
        <v>430</v>
      </c>
      <c r="K93" s="787" t="s">
        <v>53</v>
      </c>
      <c r="L93" s="638" t="b">
        <f>IF(B93="","Req'd")</f>
        <v>0</v>
      </c>
      <c r="M93" s="415"/>
    </row>
    <row r="94" spans="1:13" x14ac:dyDescent="0.25">
      <c r="A94" s="718" t="s">
        <v>543</v>
      </c>
      <c r="B94" s="781"/>
      <c r="C94" s="738" t="s">
        <v>53</v>
      </c>
      <c r="D94" s="738"/>
      <c r="G94" s="923"/>
      <c r="H94" s="312"/>
      <c r="I94" s="411"/>
      <c r="J94" s="743">
        <f>B94</f>
        <v>0</v>
      </c>
      <c r="K94" s="787" t="s">
        <v>53</v>
      </c>
      <c r="L94" s="638" t="b">
        <v>0</v>
      </c>
      <c r="M94" s="415"/>
    </row>
    <row r="95" spans="1:13" s="723" customFormat="1" ht="8.25" customHeight="1" x14ac:dyDescent="0.25">
      <c r="B95" s="737"/>
      <c r="C95" s="737"/>
      <c r="D95" s="737"/>
      <c r="E95" s="737"/>
      <c r="F95" s="737"/>
      <c r="G95" s="716"/>
      <c r="H95" s="421"/>
      <c r="I95" s="421"/>
      <c r="J95" s="421"/>
      <c r="K95" s="421"/>
      <c r="L95" s="933"/>
      <c r="M95" s="425"/>
    </row>
    <row r="96" spans="1:13" x14ac:dyDescent="0.25">
      <c r="A96" s="755" t="s">
        <v>544</v>
      </c>
      <c r="B96" s="754"/>
      <c r="C96" s="754"/>
      <c r="D96" s="754"/>
      <c r="E96" s="754"/>
      <c r="F96" s="754"/>
      <c r="G96" s="931"/>
      <c r="H96" s="312"/>
      <c r="I96" s="312"/>
      <c r="J96" s="312"/>
      <c r="K96" s="312"/>
      <c r="L96" s="635"/>
      <c r="M96" s="882"/>
    </row>
    <row r="97" spans="1:13" x14ac:dyDescent="0.25">
      <c r="A97" s="756"/>
      <c r="B97" s="737"/>
      <c r="C97" s="737"/>
      <c r="D97" s="737"/>
      <c r="E97" s="737"/>
      <c r="F97" s="737"/>
      <c r="G97" s="868" t="s">
        <v>435</v>
      </c>
      <c r="H97" s="312"/>
      <c r="I97" s="312"/>
      <c r="J97" s="312"/>
      <c r="K97" s="312"/>
      <c r="L97" s="635"/>
      <c r="M97" s="882"/>
    </row>
    <row r="98" spans="1:13" x14ac:dyDescent="0.25">
      <c r="A98" s="718" t="s">
        <v>545</v>
      </c>
      <c r="B98" s="781"/>
      <c r="C98" s="738" t="s">
        <v>546</v>
      </c>
      <c r="D98" s="738"/>
      <c r="G98" s="923"/>
      <c r="H98" s="312"/>
      <c r="I98" s="745">
        <f>B98</f>
        <v>0</v>
      </c>
      <c r="J98" s="744">
        <f>IF(ISNUMBER(B98),I98,IF(ISNUMBER(B99),I99,IF(ISNUMBER(B100),I100,I101)))</f>
        <v>5.4952813834510582E-2</v>
      </c>
      <c r="K98" s="787" t="s">
        <v>113</v>
      </c>
      <c r="L98" s="638" t="str">
        <f>IF(OR(B99&lt;&gt;"",B100&lt;&gt;""),"N/A")</f>
        <v>N/A</v>
      </c>
      <c r="M98" s="415"/>
    </row>
    <row r="99" spans="1:13" x14ac:dyDescent="0.25">
      <c r="A99" s="736" t="s">
        <v>547</v>
      </c>
      <c r="B99" s="781"/>
      <c r="C99" s="738" t="s">
        <v>548</v>
      </c>
      <c r="D99" s="738"/>
      <c r="G99" s="923"/>
      <c r="H99" s="312"/>
      <c r="I99" s="745">
        <f>B99/$J$114</f>
        <v>0</v>
      </c>
      <c r="J99" s="743"/>
      <c r="K99" s="787"/>
      <c r="L99" s="638" t="str">
        <f>IF(OR(B98&lt;&gt;"",B100&lt;&gt;""),"N/A")</f>
        <v>N/A</v>
      </c>
      <c r="M99" s="415"/>
    </row>
    <row r="100" spans="1:13" x14ac:dyDescent="0.25">
      <c r="A100" s="736" t="s">
        <v>547</v>
      </c>
      <c r="B100" s="781">
        <v>15</v>
      </c>
      <c r="C100" s="738" t="s">
        <v>549</v>
      </c>
      <c r="D100" s="738"/>
      <c r="G100" s="923" t="s">
        <v>550</v>
      </c>
      <c r="H100" s="312"/>
      <c r="I100" s="745">
        <f>B100*1.194*10^-7*J$115*(20.946/(20.946-15))</f>
        <v>5.4952813834510582E-2</v>
      </c>
      <c r="J100" s="743"/>
      <c r="K100" s="787"/>
      <c r="L100" s="638" t="b">
        <f>IF(OR(B98&lt;&gt;"",B99&lt;&gt;""),"N/A")</f>
        <v>0</v>
      </c>
      <c r="M100" s="415"/>
    </row>
    <row r="101" spans="1:13" x14ac:dyDescent="0.25">
      <c r="A101" s="736" t="s">
        <v>551</v>
      </c>
      <c r="B101" s="789"/>
      <c r="C101" s="738" t="s">
        <v>549</v>
      </c>
      <c r="D101" s="738"/>
      <c r="G101" s="923"/>
      <c r="H101" s="312"/>
      <c r="I101" s="745">
        <f>B101*1.194*10^-7*J$115*(20.946/(20.946-15))</f>
        <v>0</v>
      </c>
      <c r="J101" s="743"/>
      <c r="K101" s="787"/>
      <c r="L101" s="638" t="str">
        <f>IF(COUNTA(B98:B100)&gt;0,"N/A")</f>
        <v>N/A</v>
      </c>
      <c r="M101" s="415"/>
    </row>
    <row r="102" spans="1:13" x14ac:dyDescent="0.25">
      <c r="H102" s="312"/>
      <c r="I102" s="312"/>
      <c r="J102" s="312"/>
      <c r="K102" s="312"/>
      <c r="L102" s="635"/>
      <c r="M102" s="882"/>
    </row>
    <row r="103" spans="1:13" x14ac:dyDescent="0.25">
      <c r="A103" s="718" t="s">
        <v>552</v>
      </c>
      <c r="B103" s="781"/>
      <c r="C103" s="738" t="s">
        <v>546</v>
      </c>
      <c r="D103" s="738"/>
      <c r="G103" s="923"/>
      <c r="H103" s="312"/>
      <c r="I103" s="745">
        <f>B103</f>
        <v>0</v>
      </c>
      <c r="J103" s="744">
        <f>IF(ISNUMBER(B103),I103,IF(ISNUMBER(B104),I104,IF(ISNUMBER(B105),I105,I106)))</f>
        <v>0</v>
      </c>
      <c r="K103" s="787" t="s">
        <v>113</v>
      </c>
      <c r="L103" s="638" t="str">
        <f>IF($J$94=0,"N/A",IF(OR(B104&lt;&gt;"",B105&lt;&gt;""),"N/A"))</f>
        <v>N/A</v>
      </c>
      <c r="M103" s="415"/>
    </row>
    <row r="104" spans="1:13" x14ac:dyDescent="0.25">
      <c r="A104" s="736" t="s">
        <v>547</v>
      </c>
      <c r="B104" s="781"/>
      <c r="C104" s="738" t="s">
        <v>548</v>
      </c>
      <c r="D104" s="738"/>
      <c r="G104" s="923"/>
      <c r="H104" s="312"/>
      <c r="I104" s="745">
        <f>B104/$J$114</f>
        <v>0</v>
      </c>
      <c r="J104" s="743"/>
      <c r="K104" s="787"/>
      <c r="L104" s="638" t="str">
        <f>IF($J$94=0,"N/A",IF(OR(B103&lt;&gt;"",B105&lt;&gt;""),"N/A"))</f>
        <v>N/A</v>
      </c>
      <c r="M104" s="415"/>
    </row>
    <row r="105" spans="1:13" x14ac:dyDescent="0.25">
      <c r="A105" s="736" t="s">
        <v>547</v>
      </c>
      <c r="B105" s="781"/>
      <c r="C105" s="738" t="s">
        <v>553</v>
      </c>
      <c r="D105" s="738"/>
      <c r="G105" s="923"/>
      <c r="H105" s="312"/>
      <c r="I105" s="745">
        <f>B105*1.194*10^-7*J$115*(20.946/(20.946-3))</f>
        <v>0</v>
      </c>
      <c r="J105" s="743"/>
      <c r="K105" s="787"/>
      <c r="L105" s="638" t="str">
        <f>IF($J$94=0,"N/A",IF(OR(B103&lt;&gt;"",B104&lt;&gt;""),"N/A"))</f>
        <v>N/A</v>
      </c>
      <c r="M105" s="415"/>
    </row>
    <row r="106" spans="1:13" x14ac:dyDescent="0.25">
      <c r="A106" s="736" t="s">
        <v>551</v>
      </c>
      <c r="B106" s="789"/>
      <c r="C106" s="738" t="s">
        <v>553</v>
      </c>
      <c r="D106" s="738"/>
      <c r="G106" s="923"/>
      <c r="H106" s="312"/>
      <c r="I106" s="745">
        <f>B106*1.194*10^-7*J$115*(20.946/(20.946-3))</f>
        <v>0</v>
      </c>
      <c r="J106" s="743"/>
      <c r="K106" s="787"/>
      <c r="L106" s="638" t="str">
        <f>IF($J$94=0,"N/A",IF(COUNTA(B103:B105)&gt;0,"N/A"))</f>
        <v>N/A</v>
      </c>
      <c r="M106" s="415"/>
    </row>
    <row r="107" spans="1:13" x14ac:dyDescent="0.25">
      <c r="H107" s="312"/>
      <c r="I107" s="312"/>
      <c r="J107" s="312"/>
      <c r="K107" s="312"/>
      <c r="L107" s="635"/>
      <c r="M107" s="882"/>
    </row>
    <row r="108" spans="1:13" x14ac:dyDescent="0.25">
      <c r="A108" s="718" t="s">
        <v>554</v>
      </c>
      <c r="B108" s="781"/>
      <c r="C108" s="738" t="s">
        <v>546</v>
      </c>
      <c r="D108" s="738"/>
      <c r="G108" s="923"/>
      <c r="H108" s="312"/>
      <c r="I108" s="745">
        <f>B108</f>
        <v>0</v>
      </c>
      <c r="J108" s="744">
        <f>IF(ISNUMBER(B108),I108,IF(ISNUMBER(B109),I109,I110))</f>
        <v>7.3270418446014108E-3</v>
      </c>
      <c r="K108" s="787" t="s">
        <v>113</v>
      </c>
      <c r="L108" s="638" t="str">
        <f>IF(COUNTA(B108:B110)=0,"Req'd",IF(OR(B109&lt;&gt;"",B110&lt;&gt;""),"N/A"))</f>
        <v>N/A</v>
      </c>
      <c r="M108" s="415"/>
    </row>
    <row r="109" spans="1:13" x14ac:dyDescent="0.25">
      <c r="A109" s="736" t="s">
        <v>547</v>
      </c>
      <c r="B109" s="781"/>
      <c r="C109" s="738" t="s">
        <v>548</v>
      </c>
      <c r="D109" s="738"/>
      <c r="G109" s="923"/>
      <c r="H109" s="312"/>
      <c r="I109" s="745">
        <f>B109/$J$114</f>
        <v>0</v>
      </c>
      <c r="J109" s="743"/>
      <c r="K109" s="787"/>
      <c r="L109" s="638" t="str">
        <f>IF(COUNTA(B108:B110)=0,"Req'd",IF(OR(B108&lt;&gt;"",B110&lt;&gt;""),"N/A"))</f>
        <v>N/A</v>
      </c>
      <c r="M109" s="415"/>
    </row>
    <row r="110" spans="1:13" x14ac:dyDescent="0.25">
      <c r="A110" s="736" t="s">
        <v>547</v>
      </c>
      <c r="B110" s="781">
        <v>2</v>
      </c>
      <c r="C110" s="738" t="s">
        <v>549</v>
      </c>
      <c r="D110" s="738"/>
      <c r="G110" s="932" t="s">
        <v>555</v>
      </c>
      <c r="H110" s="312"/>
      <c r="I110" s="745">
        <f>B110*1.194*10^-7*J$115*(20.946/(20.946-15))</f>
        <v>7.3270418446014108E-3</v>
      </c>
      <c r="J110" s="743"/>
      <c r="K110" s="787"/>
      <c r="L110" s="638" t="b">
        <f>IF(COUNTA(B108:B110)=0,"Req'd",IF(OR(B108&lt;&gt;"",B109&lt;&gt;""),"N/A"))</f>
        <v>0</v>
      </c>
      <c r="M110" s="415"/>
    </row>
    <row r="111" spans="1:13" ht="8.25" customHeight="1" x14ac:dyDescent="0.25">
      <c r="A111" s="723"/>
      <c r="B111" s="737"/>
      <c r="C111" s="737"/>
      <c r="D111" s="737"/>
      <c r="E111" s="737"/>
      <c r="F111" s="737"/>
      <c r="H111" s="312"/>
      <c r="I111" s="312"/>
      <c r="J111" s="312"/>
      <c r="K111" s="312"/>
      <c r="L111" s="635"/>
      <c r="M111" s="882"/>
    </row>
    <row r="112" spans="1:13" x14ac:dyDescent="0.25">
      <c r="A112" s="755" t="s">
        <v>556</v>
      </c>
      <c r="B112" s="754"/>
      <c r="C112" s="754"/>
      <c r="D112" s="754"/>
      <c r="E112" s="754"/>
      <c r="F112" s="754"/>
      <c r="G112" s="931"/>
      <c r="H112" s="312"/>
      <c r="I112" s="312"/>
      <c r="J112" s="312"/>
      <c r="K112" s="312"/>
      <c r="L112" s="635"/>
      <c r="M112" s="882"/>
    </row>
    <row r="113" spans="1:14" x14ac:dyDescent="0.25">
      <c r="A113" s="756"/>
      <c r="B113" s="737"/>
      <c r="C113" s="737"/>
      <c r="D113" s="737"/>
      <c r="E113" s="737"/>
      <c r="F113" s="737"/>
      <c r="G113" s="868" t="s">
        <v>435</v>
      </c>
      <c r="H113" s="312"/>
      <c r="I113" s="312"/>
      <c r="J113" s="312"/>
      <c r="K113" s="312"/>
      <c r="L113" s="635"/>
      <c r="M113" s="882"/>
    </row>
    <row r="114" spans="1:14" x14ac:dyDescent="0.25">
      <c r="A114" s="718" t="str">
        <f>"HHV  [Default: "&amp;I114&amp;" " &amp; C114&amp;"]"</f>
        <v>HHV  [Default: 1050 Btu/scf]</v>
      </c>
      <c r="B114" s="781">
        <f>'LNG Fuel'!C33</f>
        <v>1087</v>
      </c>
      <c r="C114" s="738" t="s">
        <v>181</v>
      </c>
      <c r="D114" s="738"/>
      <c r="G114" s="870" t="s">
        <v>637</v>
      </c>
      <c r="H114" s="312"/>
      <c r="I114" s="411">
        <v>1050</v>
      </c>
      <c r="J114" s="743">
        <f>IF(ISNUMBER(B114),B114,I114)</f>
        <v>1087</v>
      </c>
      <c r="K114" s="787" t="s">
        <v>181</v>
      </c>
      <c r="L114" s="638" t="b">
        <v>0</v>
      </c>
      <c r="M114" s="415"/>
    </row>
    <row r="115" spans="1:14" ht="30" x14ac:dyDescent="0.25">
      <c r="A115" s="718" t="str">
        <f>"F-factor (dry)  [Default: "&amp;I115&amp;" " &amp; C115&amp;"]"</f>
        <v>F-factor (dry)  [Default: 8710 dscf/MMBtu]</v>
      </c>
      <c r="B115" s="781"/>
      <c r="C115" s="738" t="s">
        <v>557</v>
      </c>
      <c r="D115" s="738"/>
      <c r="G115" s="923" t="s">
        <v>558</v>
      </c>
      <c r="H115" s="312"/>
      <c r="I115" s="411">
        <v>8710</v>
      </c>
      <c r="J115" s="743">
        <f>IF(ISNUMBER(B115),B115,I115)</f>
        <v>8710</v>
      </c>
      <c r="K115" s="787" t="s">
        <v>557</v>
      </c>
      <c r="L115" s="638" t="b">
        <v>0</v>
      </c>
      <c r="M115" s="415"/>
    </row>
    <row r="116" spans="1:14" ht="8.25" customHeight="1" x14ac:dyDescent="0.25">
      <c r="A116" s="723"/>
      <c r="B116" s="737"/>
      <c r="C116" s="737"/>
      <c r="D116" s="737"/>
      <c r="E116" s="737"/>
      <c r="F116" s="737"/>
      <c r="H116" s="312"/>
      <c r="I116" s="312"/>
      <c r="J116" s="312"/>
      <c r="K116" s="312"/>
      <c r="L116" s="635"/>
      <c r="M116" s="882"/>
    </row>
    <row r="117" spans="1:14" x14ac:dyDescent="0.25">
      <c r="A117" s="755" t="s">
        <v>559</v>
      </c>
      <c r="B117" s="754"/>
      <c r="C117" s="754"/>
      <c r="D117" s="754"/>
      <c r="E117" s="754"/>
      <c r="F117" s="754"/>
      <c r="G117" s="931"/>
      <c r="H117" s="312"/>
      <c r="I117" s="312"/>
      <c r="J117" s="312"/>
      <c r="K117" s="312"/>
      <c r="L117" s="635"/>
      <c r="M117" s="882"/>
    </row>
    <row r="118" spans="1:14" x14ac:dyDescent="0.25">
      <c r="A118" s="756"/>
      <c r="B118" s="737"/>
      <c r="C118" s="737"/>
      <c r="D118" s="737"/>
      <c r="E118" s="737"/>
      <c r="F118" s="737"/>
      <c r="G118" s="868" t="s">
        <v>435</v>
      </c>
      <c r="H118" s="312"/>
      <c r="I118" s="312"/>
      <c r="J118" s="312"/>
      <c r="K118" s="312"/>
      <c r="L118" s="635"/>
      <c r="M118" s="882"/>
    </row>
    <row r="119" spans="1:14" x14ac:dyDescent="0.25">
      <c r="A119" s="718" t="str">
        <f>"Max annual op hours [Default: "&amp;I119&amp;" " &amp; C119&amp;"]"</f>
        <v>Max annual op hours [Default: 8760 hr/yr]</v>
      </c>
      <c r="B119" s="781">
        <v>8760</v>
      </c>
      <c r="C119" s="738" t="s">
        <v>560</v>
      </c>
      <c r="D119" s="738"/>
      <c r="G119" s="932"/>
      <c r="H119" s="312"/>
      <c r="I119" s="411">
        <v>8760</v>
      </c>
      <c r="J119" s="743">
        <f>IF(ISNUMBER(B119),B119,I119)</f>
        <v>8760</v>
      </c>
      <c r="K119" s="787" t="s">
        <v>561</v>
      </c>
      <c r="L119" s="638" t="b">
        <v>0</v>
      </c>
      <c r="M119" s="415"/>
    </row>
    <row r="120" spans="1:14" ht="9" customHeight="1" x14ac:dyDescent="0.25">
      <c r="A120" s="723"/>
      <c r="B120" s="737"/>
      <c r="C120" s="737"/>
      <c r="D120" s="737"/>
      <c r="E120" s="737"/>
      <c r="F120" s="737"/>
      <c r="H120" s="312"/>
      <c r="I120" s="312"/>
      <c r="J120" s="312"/>
      <c r="K120" s="312"/>
      <c r="L120" s="635"/>
      <c r="M120" s="882"/>
    </row>
    <row r="121" spans="1:14" x14ac:dyDescent="0.25">
      <c r="A121" s="755" t="s">
        <v>562</v>
      </c>
      <c r="B121" s="754"/>
      <c r="C121" s="754"/>
      <c r="D121" s="754"/>
      <c r="E121" s="754"/>
      <c r="F121" s="754"/>
      <c r="G121" s="931"/>
      <c r="H121" s="312"/>
      <c r="I121" s="312"/>
      <c r="J121" s="312"/>
      <c r="K121" s="312"/>
      <c r="L121" s="635"/>
      <c r="M121" s="882"/>
    </row>
    <row r="122" spans="1:14" x14ac:dyDescent="0.25">
      <c r="A122" s="756"/>
      <c r="B122" s="737"/>
      <c r="C122" s="737"/>
      <c r="D122" s="737"/>
      <c r="E122" s="737"/>
      <c r="F122" s="737"/>
      <c r="G122" s="868" t="s">
        <v>435</v>
      </c>
      <c r="H122" s="312"/>
      <c r="I122" s="312"/>
      <c r="J122" s="312"/>
      <c r="K122" s="312"/>
      <c r="L122" s="635"/>
      <c r="M122" s="882"/>
    </row>
    <row r="123" spans="1:14" x14ac:dyDescent="0.25">
      <c r="A123" s="718" t="s">
        <v>563</v>
      </c>
      <c r="B123" s="781"/>
      <c r="C123" s="738" t="s">
        <v>301</v>
      </c>
      <c r="D123" s="738"/>
      <c r="G123" s="923" t="s">
        <v>530</v>
      </c>
      <c r="H123" s="312"/>
      <c r="I123" s="636">
        <f>0.105*B93*(J98*((J98-J108)/J98)+0.5*(J125+J127*J126))</f>
        <v>137.60030360534441</v>
      </c>
      <c r="J123" s="848">
        <f>IF(ISNUMBER(B123),B123,I123)</f>
        <v>137.60030360534441</v>
      </c>
      <c r="K123" s="787" t="str">
        <f>C123</f>
        <v>kW</v>
      </c>
      <c r="L123" s="638"/>
      <c r="M123" s="415" t="s">
        <v>564</v>
      </c>
    </row>
    <row r="124" spans="1:14" x14ac:dyDescent="0.25">
      <c r="A124" s="723" t="s">
        <v>565</v>
      </c>
      <c r="B124" s="781"/>
      <c r="C124" s="738"/>
      <c r="D124" s="738"/>
      <c r="H124" s="312"/>
      <c r="I124" s="639"/>
      <c r="J124" s="640"/>
      <c r="K124" s="846"/>
      <c r="L124" s="642"/>
      <c r="M124" s="643"/>
      <c r="N124" s="723"/>
    </row>
    <row r="125" spans="1:14" x14ac:dyDescent="0.25">
      <c r="A125" s="718" t="s">
        <v>566</v>
      </c>
      <c r="B125" s="781"/>
      <c r="C125" s="738"/>
      <c r="D125" s="738"/>
      <c r="G125" s="923" t="s">
        <v>567</v>
      </c>
      <c r="H125" s="312"/>
      <c r="I125" s="411">
        <v>3</v>
      </c>
      <c r="J125" s="644">
        <f>IF(ISNUMBER(B125),B125,I125)</f>
        <v>3</v>
      </c>
      <c r="K125" s="787" t="s">
        <v>568</v>
      </c>
      <c r="L125" s="638" t="b">
        <f>IF(B$123&lt;&gt;"","N/A")</f>
        <v>0</v>
      </c>
      <c r="M125" s="415"/>
    </row>
    <row r="126" spans="1:14" x14ac:dyDescent="0.25">
      <c r="A126" s="718" t="s">
        <v>569</v>
      </c>
      <c r="B126" s="781"/>
      <c r="C126" s="738"/>
      <c r="D126" s="738"/>
      <c r="G126" s="923" t="s">
        <v>567</v>
      </c>
      <c r="H126" s="312"/>
      <c r="I126" s="411">
        <v>1</v>
      </c>
      <c r="J126" s="644">
        <f>IF(ISNUMBER(B126),B126,I126)</f>
        <v>1</v>
      </c>
      <c r="K126" s="787" t="s">
        <v>568</v>
      </c>
      <c r="L126" s="638" t="b">
        <f t="shared" ref="L126" si="4">IF(B$123&lt;&gt;"","N/A")</f>
        <v>0</v>
      </c>
      <c r="M126" s="415"/>
    </row>
    <row r="127" spans="1:14" x14ac:dyDescent="0.25">
      <c r="A127" s="718" t="s">
        <v>570</v>
      </c>
      <c r="B127" s="872">
        <f>'PowerGen Comp'!G33</f>
        <v>3</v>
      </c>
      <c r="C127" s="738"/>
      <c r="D127" s="738"/>
      <c r="G127" s="923"/>
      <c r="H127" s="312"/>
      <c r="I127" s="411"/>
      <c r="J127" s="644">
        <f>IF(ISNUMBER(B127),B127,I127)</f>
        <v>3</v>
      </c>
      <c r="K127" s="787" t="s">
        <v>571</v>
      </c>
      <c r="L127" s="638" t="b">
        <f>IF(B$123&lt;&gt;"","N/A",IF(B127="","Req'd"))</f>
        <v>0</v>
      </c>
      <c r="M127" s="415"/>
    </row>
    <row r="128" spans="1:14" x14ac:dyDescent="0.25">
      <c r="A128" s="718" t="s">
        <v>572</v>
      </c>
      <c r="B128" s="855">
        <f>J123</f>
        <v>137.60030360534441</v>
      </c>
      <c r="C128" s="738" t="s">
        <v>301</v>
      </c>
      <c r="D128" s="646"/>
      <c r="G128" s="923" t="s">
        <v>567</v>
      </c>
      <c r="H128" s="312"/>
      <c r="I128" s="421"/>
      <c r="J128" s="854"/>
      <c r="K128" s="737"/>
      <c r="L128" s="638" t="b">
        <f>IF(B$123&lt;&gt;"","N/A")</f>
        <v>0</v>
      </c>
      <c r="M128" s="425"/>
    </row>
    <row r="129" spans="1:14" x14ac:dyDescent="0.25">
      <c r="A129" s="723"/>
      <c r="B129" s="847"/>
      <c r="C129" s="739"/>
      <c r="D129" s="739"/>
      <c r="E129" s="737"/>
      <c r="F129" s="737"/>
      <c r="H129" s="421"/>
      <c r="I129" s="639"/>
      <c r="J129" s="640"/>
      <c r="K129" s="846"/>
      <c r="L129" s="642"/>
      <c r="M129" s="643"/>
      <c r="N129" s="723"/>
    </row>
    <row r="130" spans="1:14" ht="45" x14ac:dyDescent="0.25">
      <c r="A130" s="718" t="str">
        <f>"Electricity Cost  [Default: "&amp;I130&amp;" " &amp; C130&amp;"]"</f>
        <v>Electricity Cost  [Default: 0.1572 $/kWh]</v>
      </c>
      <c r="B130" s="843">
        <f>'Utility Costs'!I40/100</f>
        <v>0.15608096020000001</v>
      </c>
      <c r="C130" s="738" t="s">
        <v>11</v>
      </c>
      <c r="D130" s="738"/>
      <c r="G130" s="869" t="s">
        <v>659</v>
      </c>
      <c r="H130" s="312"/>
      <c r="I130" s="411">
        <v>0.15720000000000001</v>
      </c>
      <c r="J130" s="747">
        <f>IF(ISNUMBER(B130),B130,I130)</f>
        <v>0.15608096020000001</v>
      </c>
      <c r="K130" s="787" t="s">
        <v>11</v>
      </c>
      <c r="L130" s="638" t="b">
        <v>0</v>
      </c>
      <c r="M130" s="415"/>
    </row>
    <row r="131" spans="1:14" ht="8.25" customHeight="1" x14ac:dyDescent="0.25">
      <c r="A131" s="723"/>
      <c r="B131" s="737"/>
      <c r="C131" s="737"/>
      <c r="D131" s="737"/>
      <c r="E131" s="737"/>
      <c r="F131" s="737"/>
      <c r="H131" s="312"/>
      <c r="I131" s="312"/>
      <c r="J131" s="312"/>
      <c r="K131" s="312"/>
      <c r="L131" s="635"/>
      <c r="M131" s="882"/>
    </row>
    <row r="132" spans="1:14" x14ac:dyDescent="0.25">
      <c r="A132" s="755" t="s">
        <v>573</v>
      </c>
      <c r="B132" s="754"/>
      <c r="C132" s="754"/>
      <c r="D132" s="754"/>
      <c r="E132" s="754"/>
      <c r="F132" s="754"/>
      <c r="G132" s="931"/>
      <c r="H132" s="312"/>
      <c r="I132" s="312"/>
      <c r="J132" s="312"/>
      <c r="K132" s="312"/>
      <c r="L132" s="635"/>
      <c r="M132" s="882"/>
    </row>
    <row r="133" spans="1:14" x14ac:dyDescent="0.25">
      <c r="A133" s="756"/>
      <c r="B133" s="737"/>
      <c r="C133" s="737"/>
      <c r="D133" s="737"/>
      <c r="E133" s="737"/>
      <c r="F133" s="737"/>
      <c r="G133" s="868" t="s">
        <v>435</v>
      </c>
      <c r="H133" s="312"/>
      <c r="I133" s="312"/>
      <c r="J133" s="312"/>
      <c r="K133" s="312"/>
      <c r="L133" s="635"/>
      <c r="M133" s="882"/>
    </row>
    <row r="134" spans="1:14" ht="26.25" x14ac:dyDescent="0.25">
      <c r="A134" s="718" t="s">
        <v>574</v>
      </c>
      <c r="B134" s="782">
        <f>'PowerGen Comp'!G17</f>
        <v>2.2400000000000002</v>
      </c>
      <c r="C134" s="738" t="s">
        <v>575</v>
      </c>
      <c r="D134" s="738"/>
      <c r="G134" s="935" t="s">
        <v>661</v>
      </c>
      <c r="H134" s="312"/>
      <c r="I134" s="411"/>
      <c r="J134" s="747">
        <f>B134</f>
        <v>2.2400000000000002</v>
      </c>
      <c r="K134" s="787" t="str">
        <f>C134</f>
        <v>$/gallon</v>
      </c>
      <c r="L134" s="638" t="b">
        <f>IF(B134="","Req'd")</f>
        <v>0</v>
      </c>
      <c r="M134" s="415"/>
    </row>
    <row r="135" spans="1:14" x14ac:dyDescent="0.25">
      <c r="A135" s="718" t="s">
        <v>576</v>
      </c>
      <c r="B135" s="781"/>
      <c r="C135" s="738" t="s">
        <v>577</v>
      </c>
      <c r="D135" s="738"/>
      <c r="G135" s="923"/>
      <c r="H135" s="312"/>
      <c r="I135" s="411"/>
      <c r="J135" s="743">
        <f>IF(ISNUMBER(B135),B135,B136*24*J138)</f>
        <v>1819.9228513706898</v>
      </c>
      <c r="K135" s="787" t="s">
        <v>577</v>
      </c>
      <c r="L135" s="638" t="b">
        <f>IF(AND(B135="",B136=""),"Req'd")</f>
        <v>0</v>
      </c>
      <c r="M135" s="415"/>
    </row>
    <row r="136" spans="1:14" x14ac:dyDescent="0.25">
      <c r="A136" s="736" t="s">
        <v>547</v>
      </c>
      <c r="B136" s="781">
        <v>14</v>
      </c>
      <c r="C136" s="738" t="s">
        <v>578</v>
      </c>
      <c r="D136" s="738"/>
      <c r="G136" s="923" t="s">
        <v>502</v>
      </c>
      <c r="H136" s="312"/>
      <c r="I136" s="411"/>
      <c r="J136" s="743">
        <f>IF(ISNUMBER(B136),B136,B137*24*J139)</f>
        <v>14</v>
      </c>
      <c r="K136" s="787" t="s">
        <v>577</v>
      </c>
      <c r="L136" s="638" t="b">
        <f>IF(AND(B135="",B136=""),"Req'd",IF(B135&lt;&gt;"","N/A"))</f>
        <v>0</v>
      </c>
      <c r="M136" s="415"/>
    </row>
    <row r="137" spans="1:14" x14ac:dyDescent="0.25">
      <c r="B137" s="718"/>
      <c r="H137" s="312"/>
      <c r="I137" s="312"/>
      <c r="J137" s="312"/>
      <c r="K137" s="312"/>
      <c r="L137" s="635"/>
      <c r="M137" s="882"/>
    </row>
    <row r="138" spans="1:14" x14ac:dyDescent="0.25">
      <c r="A138" s="718" t="s">
        <v>579</v>
      </c>
      <c r="B138" s="843"/>
      <c r="C138" s="738" t="s">
        <v>65</v>
      </c>
      <c r="D138" s="738"/>
      <c r="G138" s="923"/>
      <c r="H138" s="312"/>
      <c r="I138" s="411">
        <f>(J141/J142)</f>
        <v>5.4164370576508629</v>
      </c>
      <c r="J138" s="743">
        <f>IF(ISNUMBER(B138),B138,I138)</f>
        <v>5.4164370576508629</v>
      </c>
      <c r="K138" s="787" t="str">
        <f>C138</f>
        <v>gal/hr</v>
      </c>
      <c r="L138" s="638"/>
      <c r="M138" s="415"/>
    </row>
    <row r="139" spans="1:14" s="312" customFormat="1" x14ac:dyDescent="0.25">
      <c r="A139" s="723" t="s">
        <v>580</v>
      </c>
      <c r="G139" s="716"/>
      <c r="L139" s="635"/>
      <c r="M139" s="882"/>
    </row>
    <row r="140" spans="1:14" x14ac:dyDescent="0.25">
      <c r="A140" s="736" t="str">
        <f>"Stored NH3 concentration  [Default: "&amp;TEXT(I140,"0.0%")&amp;"]"</f>
        <v>Stored NH3 concentration  [Default: 19.4%]</v>
      </c>
      <c r="B140" s="936"/>
      <c r="C140" s="738" t="s">
        <v>581</v>
      </c>
      <c r="D140" s="738"/>
      <c r="E140" s="718"/>
      <c r="F140" s="725"/>
      <c r="G140" s="923"/>
      <c r="H140" s="718"/>
      <c r="I140" s="655">
        <v>0.19400000000000001</v>
      </c>
      <c r="J140" s="656">
        <f>IF(ISNUMBER(B140),B140,I140)</f>
        <v>0.19400000000000001</v>
      </c>
      <c r="K140" s="657" t="s">
        <v>581</v>
      </c>
      <c r="L140" s="638" t="b">
        <f>IF(B$138&lt;&gt;"","N/A")</f>
        <v>0</v>
      </c>
      <c r="M140" s="415" t="s">
        <v>582</v>
      </c>
    </row>
    <row r="141" spans="1:14" ht="18" x14ac:dyDescent="0.35">
      <c r="A141" s="736" t="s">
        <v>583</v>
      </c>
      <c r="B141" s="843">
        <f>'PowerGen Comp'!C16</f>
        <v>42.150713182639016</v>
      </c>
      <c r="C141" s="738" t="s">
        <v>12</v>
      </c>
      <c r="D141" s="738"/>
      <c r="E141" s="718"/>
      <c r="F141" s="718"/>
      <c r="G141" s="869" t="s">
        <v>657</v>
      </c>
      <c r="H141" s="718"/>
      <c r="I141" s="636">
        <f>(J93*(J98-J108)+J94*(J103-J108))*(1.05*17.03)/(1*46.01)/J140</f>
        <v>41.026122065592112</v>
      </c>
      <c r="J141" s="644">
        <f>IF(ISNUMBER(B141),B141,I141)</f>
        <v>42.150713182639016</v>
      </c>
      <c r="K141" s="659" t="s">
        <v>12</v>
      </c>
      <c r="L141" s="638" t="b">
        <f>IF(B$138&lt;&gt;"","N/A")</f>
        <v>0</v>
      </c>
      <c r="M141" s="415" t="s">
        <v>584</v>
      </c>
    </row>
    <row r="142" spans="1:14" x14ac:dyDescent="0.25">
      <c r="A142" s="736" t="str">
        <f>"NH3 solution density  [Default: "&amp;TEXT(I142,"0.000")&amp;" "&amp;K142&amp;"]"</f>
        <v>NH3 solution density  [Default: 7.782 lb/gal]</v>
      </c>
      <c r="B142" s="783">
        <f>'PowerGen Comp'!G14</f>
        <v>7.782</v>
      </c>
      <c r="C142" s="738" t="s">
        <v>385</v>
      </c>
      <c r="D142" s="738"/>
      <c r="E142" s="718"/>
      <c r="F142" s="718"/>
      <c r="G142" s="923" t="s">
        <v>585</v>
      </c>
      <c r="H142" s="718"/>
      <c r="I142" s="636">
        <f>-3.3395*J140 + 8.4297</f>
        <v>7.7818370000000003</v>
      </c>
      <c r="J142" s="644">
        <f>IF(ISNUMBER(B142),B142,I142)</f>
        <v>7.782</v>
      </c>
      <c r="K142" s="659" t="s">
        <v>385</v>
      </c>
      <c r="L142" s="638" t="b">
        <f>IF(B$138&lt;&gt;"","N/A")</f>
        <v>0</v>
      </c>
      <c r="M142" s="415"/>
    </row>
    <row r="143" spans="1:14" x14ac:dyDescent="0.25">
      <c r="A143" s="718" t="s">
        <v>586</v>
      </c>
      <c r="B143" s="855">
        <f>J138</f>
        <v>5.4164370576508629</v>
      </c>
      <c r="C143" s="738" t="s">
        <v>65</v>
      </c>
      <c r="D143" s="738"/>
      <c r="E143" s="718"/>
      <c r="F143" s="718"/>
      <c r="G143" s="923" t="s">
        <v>587</v>
      </c>
      <c r="H143" s="718"/>
      <c r="I143" s="660"/>
      <c r="J143" s="660"/>
      <c r="K143" s="661"/>
      <c r="L143" s="638" t="b">
        <f>IF(B$138&lt;&gt;"","N/A")</f>
        <v>0</v>
      </c>
      <c r="M143" s="425"/>
    </row>
    <row r="144" spans="1:14" ht="8.25" customHeight="1" x14ac:dyDescent="0.25">
      <c r="A144" s="723"/>
      <c r="B144" s="737"/>
      <c r="C144" s="737"/>
      <c r="D144" s="737"/>
      <c r="E144" s="737"/>
      <c r="F144" s="737"/>
      <c r="H144" s="312"/>
      <c r="I144" s="312"/>
      <c r="J144" s="312"/>
      <c r="K144" s="312"/>
      <c r="L144" s="312"/>
      <c r="M144" s="882"/>
    </row>
    <row r="145" spans="1:13" x14ac:dyDescent="0.25">
      <c r="A145" s="755" t="s">
        <v>588</v>
      </c>
      <c r="B145" s="754"/>
      <c r="C145" s="754"/>
      <c r="D145" s="754"/>
      <c r="E145" s="754"/>
      <c r="F145" s="754"/>
      <c r="G145" s="931"/>
      <c r="H145" s="312"/>
      <c r="I145" s="312"/>
      <c r="J145" s="312"/>
      <c r="K145" s="312"/>
      <c r="L145" s="312"/>
      <c r="M145" s="882"/>
    </row>
    <row r="146" spans="1:13" x14ac:dyDescent="0.25">
      <c r="A146" s="756"/>
      <c r="B146" s="737"/>
      <c r="C146" s="737"/>
      <c r="D146" s="737"/>
      <c r="E146" s="737"/>
      <c r="F146" s="737"/>
      <c r="G146" s="868" t="s">
        <v>435</v>
      </c>
      <c r="H146" s="312"/>
      <c r="I146" s="312"/>
      <c r="J146" s="312"/>
      <c r="K146" s="312"/>
      <c r="L146" s="312"/>
      <c r="M146" s="882"/>
    </row>
    <row r="147" spans="1:13" x14ac:dyDescent="0.25">
      <c r="A147" s="718" t="s">
        <v>589</v>
      </c>
      <c r="B147" s="784">
        <f>'PowerGen Comp'!G40*'PowerGen Comp'!G25</f>
        <v>252126.86842491914</v>
      </c>
      <c r="G147" s="937" t="s">
        <v>612</v>
      </c>
      <c r="H147" s="312"/>
      <c r="I147" s="411"/>
      <c r="J147" s="746">
        <f>B147</f>
        <v>252126.86842491914</v>
      </c>
      <c r="K147" s="787" t="s">
        <v>445</v>
      </c>
      <c r="L147" s="638" t="b">
        <f>IF(B147="","Req'd")</f>
        <v>0</v>
      </c>
      <c r="M147" s="415"/>
    </row>
    <row r="148" spans="1:13" x14ac:dyDescent="0.25">
      <c r="A148" s="718" t="s">
        <v>590</v>
      </c>
      <c r="B148" s="781">
        <v>3</v>
      </c>
      <c r="C148" s="738" t="s">
        <v>518</v>
      </c>
      <c r="D148" s="646"/>
      <c r="G148" s="932"/>
      <c r="H148" s="312"/>
      <c r="I148" s="411"/>
      <c r="J148" s="743">
        <f>IF(ISNUMBER(B148),B148,I148)</f>
        <v>3</v>
      </c>
      <c r="K148" s="787" t="s">
        <v>518</v>
      </c>
      <c r="L148" s="638" t="b">
        <f>IF(B148="","Req'd")</f>
        <v>0</v>
      </c>
      <c r="M148" s="415"/>
    </row>
    <row r="149" spans="1:13" x14ac:dyDescent="0.25">
      <c r="A149" s="664" t="s">
        <v>31</v>
      </c>
      <c r="B149" s="938">
        <v>7.0000000000000007E-2</v>
      </c>
      <c r="C149" s="738" t="s">
        <v>520</v>
      </c>
      <c r="D149" s="738"/>
      <c r="G149" s="923" t="s">
        <v>591</v>
      </c>
      <c r="H149" s="312"/>
      <c r="I149" s="411"/>
      <c r="J149" s="666">
        <f>IF(ISNUMBER(B149),B149,I149)</f>
        <v>7.0000000000000007E-2</v>
      </c>
      <c r="K149" s="787" t="s">
        <v>520</v>
      </c>
      <c r="L149" s="638" t="b">
        <f>IF(B149="","Req'd")</f>
        <v>0</v>
      </c>
      <c r="M149" s="415"/>
    </row>
    <row r="150" spans="1:13" x14ac:dyDescent="0.25">
      <c r="A150" s="667" t="s">
        <v>592</v>
      </c>
      <c r="B150" s="939">
        <f>J150</f>
        <v>78424.482386674252</v>
      </c>
      <c r="G150" s="923" t="s">
        <v>593</v>
      </c>
      <c r="H150" s="312"/>
      <c r="I150" s="940">
        <f>IF(NOT(AND(ISNUMBER(B147),ISNUMBER(B148))),0,J147*J149/((1+J149)^J148-1))</f>
        <v>78424.482386674252</v>
      </c>
      <c r="J150" s="746">
        <f>I150</f>
        <v>78424.482386674252</v>
      </c>
      <c r="K150" s="787" t="s">
        <v>445</v>
      </c>
      <c r="L150" s="535" t="b">
        <v>0</v>
      </c>
      <c r="M150" s="415" t="s">
        <v>594</v>
      </c>
    </row>
    <row r="151" spans="1:13" ht="8.25" customHeight="1" x14ac:dyDescent="0.25">
      <c r="A151" s="723"/>
      <c r="B151" s="737"/>
      <c r="C151" s="737"/>
      <c r="D151" s="737"/>
      <c r="E151" s="737"/>
      <c r="F151" s="737"/>
      <c r="H151" s="312"/>
      <c r="I151" s="671"/>
      <c r="J151" s="312"/>
      <c r="K151" s="312"/>
      <c r="L151" s="312"/>
    </row>
    <row r="152" spans="1:13" x14ac:dyDescent="0.25">
      <c r="A152" s="718" t="s">
        <v>595</v>
      </c>
      <c r="B152" s="844"/>
      <c r="H152" s="312"/>
      <c r="I152" s="941"/>
      <c r="L152" s="312"/>
      <c r="M152" s="312"/>
    </row>
    <row r="153" spans="1:13" x14ac:dyDescent="0.25">
      <c r="A153" s="725"/>
      <c r="B153" s="725"/>
      <c r="C153" s="725"/>
      <c r="D153" s="725"/>
      <c r="E153" s="726"/>
      <c r="F153" s="725"/>
      <c r="H153" s="718"/>
      <c r="I153" s="725"/>
      <c r="J153" s="727"/>
      <c r="K153" s="728"/>
      <c r="L153" s="725"/>
      <c r="M153" s="725"/>
    </row>
    <row r="154" spans="1:13" x14ac:dyDescent="0.25">
      <c r="A154" s="845"/>
      <c r="B154" s="730"/>
      <c r="C154" s="730"/>
      <c r="D154" s="730"/>
      <c r="E154" s="730"/>
      <c r="F154" s="730"/>
      <c r="H154" s="730"/>
      <c r="I154" s="725"/>
      <c r="J154" s="730"/>
      <c r="K154" s="730"/>
      <c r="L154" s="725"/>
      <c r="M154" s="725"/>
    </row>
    <row r="155" spans="1:13" x14ac:dyDescent="0.25">
      <c r="A155" s="725"/>
      <c r="B155" s="730"/>
      <c r="C155" s="730"/>
      <c r="D155" s="730"/>
      <c r="E155" s="730"/>
      <c r="F155" s="730"/>
      <c r="H155" s="730"/>
      <c r="I155" s="725"/>
      <c r="J155" s="730"/>
      <c r="K155" s="730"/>
      <c r="L155" s="725"/>
      <c r="M155" s="725"/>
    </row>
    <row r="156" spans="1:13" x14ac:dyDescent="0.2">
      <c r="A156" s="725"/>
      <c r="B156" s="730"/>
      <c r="C156" s="730"/>
      <c r="D156" s="730"/>
      <c r="E156" s="730"/>
      <c r="F156" s="730"/>
      <c r="G156" s="942"/>
      <c r="H156" s="730"/>
      <c r="I156" s="725"/>
      <c r="J156" s="730"/>
      <c r="K156" s="730"/>
      <c r="L156" s="725"/>
      <c r="M156" s="725"/>
    </row>
    <row r="157" spans="1:13" x14ac:dyDescent="0.2">
      <c r="A157" s="725"/>
      <c r="B157" s="730"/>
      <c r="C157" s="730"/>
      <c r="D157" s="730"/>
      <c r="E157" s="730"/>
      <c r="F157" s="730"/>
      <c r="G157" s="942"/>
      <c r="H157" s="730"/>
      <c r="I157" s="725"/>
      <c r="J157" s="730"/>
      <c r="K157" s="730"/>
      <c r="L157" s="725"/>
      <c r="M157" s="725"/>
    </row>
    <row r="158" spans="1:13" x14ac:dyDescent="0.2">
      <c r="A158" s="725"/>
      <c r="B158" s="730"/>
      <c r="C158" s="730"/>
      <c r="D158" s="730"/>
      <c r="E158" s="730"/>
      <c r="F158" s="730"/>
      <c r="G158" s="942"/>
      <c r="H158" s="730"/>
      <c r="I158" s="725"/>
      <c r="J158" s="730"/>
      <c r="K158" s="730"/>
      <c r="L158" s="725"/>
      <c r="M158" s="725"/>
    </row>
    <row r="159" spans="1:13" x14ac:dyDescent="0.2">
      <c r="A159" s="725"/>
      <c r="B159" s="730"/>
      <c r="C159" s="730"/>
      <c r="D159" s="730"/>
      <c r="E159" s="730"/>
      <c r="F159" s="730"/>
      <c r="G159" s="942"/>
      <c r="H159" s="730"/>
      <c r="I159" s="725"/>
      <c r="J159" s="730"/>
      <c r="K159" s="730"/>
      <c r="L159" s="725"/>
      <c r="M159" s="725"/>
    </row>
    <row r="160" spans="1:13" x14ac:dyDescent="0.2">
      <c r="A160" s="725"/>
      <c r="B160" s="730"/>
      <c r="C160" s="730"/>
      <c r="D160" s="730"/>
      <c r="E160" s="730"/>
      <c r="F160" s="730"/>
      <c r="G160" s="942"/>
      <c r="H160" s="730"/>
      <c r="I160" s="725"/>
      <c r="J160" s="730"/>
      <c r="K160" s="730"/>
      <c r="L160" s="725"/>
      <c r="M160" s="725"/>
    </row>
    <row r="161" spans="1:13" x14ac:dyDescent="0.2">
      <c r="A161" s="725"/>
      <c r="B161" s="730"/>
      <c r="C161" s="730"/>
      <c r="D161" s="730"/>
      <c r="E161" s="730"/>
      <c r="F161" s="730"/>
      <c r="G161" s="942"/>
      <c r="H161" s="730"/>
      <c r="I161" s="725"/>
      <c r="J161" s="730"/>
      <c r="K161" s="730"/>
      <c r="L161" s="725"/>
      <c r="M161" s="725"/>
    </row>
    <row r="162" spans="1:13" x14ac:dyDescent="0.2">
      <c r="A162" s="725"/>
      <c r="B162" s="730"/>
      <c r="C162" s="730"/>
      <c r="D162" s="730"/>
      <c r="E162" s="730"/>
      <c r="F162" s="730"/>
      <c r="G162" s="942"/>
      <c r="H162" s="730"/>
      <c r="I162" s="725"/>
      <c r="J162" s="730"/>
      <c r="K162" s="730"/>
      <c r="L162" s="725"/>
      <c r="M162" s="725"/>
    </row>
    <row r="163" spans="1:13" x14ac:dyDescent="0.2">
      <c r="A163" s="725"/>
      <c r="B163" s="730"/>
      <c r="C163" s="730"/>
      <c r="D163" s="730"/>
      <c r="E163" s="730"/>
      <c r="F163" s="730"/>
      <c r="G163" s="942"/>
      <c r="H163" s="730"/>
      <c r="I163" s="725"/>
      <c r="J163" s="730"/>
      <c r="K163" s="730"/>
      <c r="L163" s="725"/>
      <c r="M163" s="725"/>
    </row>
    <row r="164" spans="1:13" x14ac:dyDescent="0.2">
      <c r="A164" s="725"/>
      <c r="B164" s="730"/>
      <c r="C164" s="730"/>
      <c r="D164" s="730"/>
      <c r="E164" s="730"/>
      <c r="F164" s="730"/>
      <c r="G164" s="942"/>
      <c r="H164" s="730"/>
      <c r="I164" s="725"/>
      <c r="J164" s="730"/>
      <c r="K164" s="730"/>
      <c r="L164" s="725"/>
      <c r="M164" s="725"/>
    </row>
    <row r="165" spans="1:13" x14ac:dyDescent="0.2">
      <c r="A165" s="725"/>
      <c r="B165" s="730"/>
      <c r="C165" s="730"/>
      <c r="D165" s="730"/>
      <c r="E165" s="730"/>
      <c r="F165" s="730"/>
      <c r="G165" s="942"/>
      <c r="H165" s="730"/>
      <c r="I165" s="725"/>
      <c r="J165" s="730"/>
      <c r="K165" s="730"/>
      <c r="L165" s="725"/>
      <c r="M165" s="725"/>
    </row>
    <row r="166" spans="1:13" x14ac:dyDescent="0.2">
      <c r="A166" s="725"/>
      <c r="B166" s="730"/>
      <c r="C166" s="730"/>
      <c r="D166" s="730"/>
      <c r="E166" s="730"/>
      <c r="F166" s="730"/>
      <c r="G166" s="942"/>
      <c r="H166" s="730"/>
      <c r="I166" s="725"/>
      <c r="J166" s="730"/>
      <c r="K166" s="730"/>
      <c r="L166" s="725"/>
      <c r="M166" s="725"/>
    </row>
    <row r="167" spans="1:13" x14ac:dyDescent="0.2">
      <c r="A167" s="725"/>
      <c r="B167" s="730"/>
      <c r="C167" s="730"/>
      <c r="D167" s="730"/>
      <c r="E167" s="730"/>
      <c r="F167" s="730"/>
      <c r="G167" s="942"/>
      <c r="H167" s="730"/>
      <c r="I167" s="725"/>
      <c r="J167" s="730"/>
      <c r="K167" s="730"/>
      <c r="L167" s="725"/>
      <c r="M167" s="725"/>
    </row>
    <row r="168" spans="1:13" x14ac:dyDescent="0.2">
      <c r="A168" s="725"/>
      <c r="B168" s="730"/>
      <c r="C168" s="730"/>
      <c r="D168" s="730"/>
      <c r="E168" s="730"/>
      <c r="F168" s="730"/>
      <c r="G168" s="942"/>
      <c r="H168" s="730"/>
      <c r="I168" s="725"/>
      <c r="J168" s="730"/>
      <c r="K168" s="730"/>
      <c r="L168" s="725"/>
      <c r="M168" s="725"/>
    </row>
    <row r="169" spans="1:13" x14ac:dyDescent="0.2">
      <c r="A169" s="725"/>
      <c r="B169" s="730"/>
      <c r="C169" s="730"/>
      <c r="D169" s="730"/>
      <c r="E169" s="730"/>
      <c r="F169" s="730"/>
      <c r="G169" s="942"/>
      <c r="H169" s="730"/>
      <c r="I169" s="725"/>
      <c r="J169" s="730"/>
      <c r="K169" s="730"/>
      <c r="L169" s="725"/>
      <c r="M169" s="725"/>
    </row>
  </sheetData>
  <mergeCells count="8">
    <mergeCell ref="A57:G57"/>
    <mergeCell ref="A65:G65"/>
    <mergeCell ref="A1:G1"/>
    <mergeCell ref="A2:G2"/>
    <mergeCell ref="A3:G3"/>
    <mergeCell ref="A9:G9"/>
    <mergeCell ref="A28:G28"/>
    <mergeCell ref="A43:G43"/>
  </mergeCells>
  <conditionalFormatting sqref="C11:C23 C47 C55:C56 C64 C66:C71 C29:C42 C44 C25:C27">
    <cfRule type="expression" dxfId="207" priority="62">
      <formula>$B11&lt;&gt;""</formula>
    </cfRule>
  </conditionalFormatting>
  <conditionalFormatting sqref="B11:B23 B47 B55:B56 B25:B27 B61:B64 B29:B42 B44 B144:B146 B66:B74 B78:B129 B149:B150 B131:B142">
    <cfRule type="expression" dxfId="206" priority="63">
      <formula>$L11="N/A"</formula>
    </cfRule>
    <cfRule type="expression" dxfId="205" priority="64">
      <formula>AND($L11="Req'd",$B11="")</formula>
    </cfRule>
  </conditionalFormatting>
  <conditionalFormatting sqref="B46">
    <cfRule type="expression" dxfId="204" priority="60">
      <formula>$L46="N/A"</formula>
    </cfRule>
    <cfRule type="expression" dxfId="203" priority="61">
      <formula>AND($L46="Req'd",$B46="")</formula>
    </cfRule>
  </conditionalFormatting>
  <conditionalFormatting sqref="C58 C63">
    <cfRule type="expression" dxfId="202" priority="57">
      <formula>$B58&lt;&gt;""</formula>
    </cfRule>
  </conditionalFormatting>
  <conditionalFormatting sqref="B58:B59">
    <cfRule type="expression" dxfId="201" priority="58">
      <formula>$L58="N/A"</formula>
    </cfRule>
    <cfRule type="expression" dxfId="200" priority="59">
      <formula>AND($L58="Req'd",$B58="")</formula>
    </cfRule>
  </conditionalFormatting>
  <conditionalFormatting sqref="B60">
    <cfRule type="expression" dxfId="199" priority="55">
      <formula>$L60="N/A"</formula>
    </cfRule>
    <cfRule type="expression" dxfId="198" priority="56">
      <formula>AND($L60="Req'd",$B60="")</formula>
    </cfRule>
  </conditionalFormatting>
  <conditionalFormatting sqref="C59">
    <cfRule type="expression" dxfId="197" priority="54">
      <formula>$B59&lt;&gt;""</formula>
    </cfRule>
  </conditionalFormatting>
  <conditionalFormatting sqref="C48">
    <cfRule type="expression" dxfId="196" priority="51">
      <formula>$B48&lt;&gt;""</formula>
    </cfRule>
  </conditionalFormatting>
  <conditionalFormatting sqref="B48">
    <cfRule type="expression" dxfId="195" priority="52">
      <formula>$L48="N/A"</formula>
    </cfRule>
    <cfRule type="expression" dxfId="194" priority="53">
      <formula>AND($L48="Req'd",$B48="")</formula>
    </cfRule>
  </conditionalFormatting>
  <conditionalFormatting sqref="C60">
    <cfRule type="expression" dxfId="193" priority="50">
      <formula>$B60&lt;&gt;""</formula>
    </cfRule>
  </conditionalFormatting>
  <conditionalFormatting sqref="C61">
    <cfRule type="expression" dxfId="192" priority="49">
      <formula>$B61&lt;&gt;""</formula>
    </cfRule>
  </conditionalFormatting>
  <conditionalFormatting sqref="C62">
    <cfRule type="expression" dxfId="191" priority="48">
      <formula>$B62&lt;&gt;""</formula>
    </cfRule>
  </conditionalFormatting>
  <conditionalFormatting sqref="B49">
    <cfRule type="expression" dxfId="190" priority="46">
      <formula>$L49="N/A"</formula>
    </cfRule>
    <cfRule type="expression" dxfId="189" priority="47">
      <formula>AND($L49="Req'd",$B49="")</formula>
    </cfRule>
  </conditionalFormatting>
  <conditionalFormatting sqref="B50">
    <cfRule type="expression" dxfId="188" priority="44">
      <formula>$L50="N/A"</formula>
    </cfRule>
    <cfRule type="expression" dxfId="187" priority="45">
      <formula>AND($L50="Req'd",$B50="")</formula>
    </cfRule>
  </conditionalFormatting>
  <conditionalFormatting sqref="B51:B52">
    <cfRule type="expression" dxfId="186" priority="42">
      <formula>$L51="N/A"</formula>
    </cfRule>
    <cfRule type="expression" dxfId="185" priority="43">
      <formula>AND($L51="Req'd",$B51="")</formula>
    </cfRule>
  </conditionalFormatting>
  <conditionalFormatting sqref="C50">
    <cfRule type="expression" dxfId="184" priority="35">
      <formula>$B50&lt;&gt;""</formula>
    </cfRule>
  </conditionalFormatting>
  <conditionalFormatting sqref="C51">
    <cfRule type="expression" dxfId="183" priority="34">
      <formula>$B51&lt;&gt;""</formula>
    </cfRule>
  </conditionalFormatting>
  <conditionalFormatting sqref="C49">
    <cfRule type="expression" dxfId="182" priority="33">
      <formula>$B49&lt;&gt;""</formula>
    </cfRule>
  </conditionalFormatting>
  <conditionalFormatting sqref="B75:B77">
    <cfRule type="expression" dxfId="181" priority="31">
      <formula>$L75="N/A"</formula>
    </cfRule>
    <cfRule type="expression" dxfId="180" priority="32">
      <formula>AND($L75="Req'd",$B75="")</formula>
    </cfRule>
  </conditionalFormatting>
  <conditionalFormatting sqref="C46">
    <cfRule type="expression" dxfId="179" priority="30">
      <formula>$B46&lt;&gt;""</formula>
    </cfRule>
  </conditionalFormatting>
  <conditionalFormatting sqref="C52">
    <cfRule type="expression" dxfId="178" priority="29">
      <formula>$B52&lt;&gt;""</formula>
    </cfRule>
  </conditionalFormatting>
  <conditionalFormatting sqref="B143">
    <cfRule type="expression" dxfId="177" priority="27">
      <formula>$L143="N/A"</formula>
    </cfRule>
    <cfRule type="expression" dxfId="176" priority="28">
      <formula>AND($L143="Req'd",$B143="")</formula>
    </cfRule>
  </conditionalFormatting>
  <conditionalFormatting sqref="B24">
    <cfRule type="expression" dxfId="175" priority="23">
      <formula>$K24="N/A"</formula>
    </cfRule>
    <cfRule type="expression" dxfId="174" priority="24">
      <formula>AND($K24="Req'd",$B24="")</formula>
    </cfRule>
  </conditionalFormatting>
  <conditionalFormatting sqref="D11:D23 D47 D55:D56 D64 D66:D71 D29:D42 D44 D25:D27">
    <cfRule type="expression" dxfId="173" priority="22">
      <formula>$B11&lt;&gt;""</formula>
    </cfRule>
  </conditionalFormatting>
  <conditionalFormatting sqref="D46">
    <cfRule type="expression" dxfId="172" priority="21">
      <formula>$B46&lt;&gt;""</formula>
    </cfRule>
  </conditionalFormatting>
  <conditionalFormatting sqref="D58 D63">
    <cfRule type="expression" dxfId="171" priority="20">
      <formula>$B58&lt;&gt;""</formula>
    </cfRule>
  </conditionalFormatting>
  <conditionalFormatting sqref="D59">
    <cfRule type="expression" dxfId="170" priority="19">
      <formula>$B59&lt;&gt;""</formula>
    </cfRule>
  </conditionalFormatting>
  <conditionalFormatting sqref="D60">
    <cfRule type="expression" dxfId="169" priority="18">
      <formula>$B60&lt;&gt;""</formula>
    </cfRule>
  </conditionalFormatting>
  <conditionalFormatting sqref="D61">
    <cfRule type="expression" dxfId="168" priority="17">
      <formula>$B61&lt;&gt;""</formula>
    </cfRule>
  </conditionalFormatting>
  <conditionalFormatting sqref="D62">
    <cfRule type="expression" dxfId="167" priority="16">
      <formula>$B62&lt;&gt;""</formula>
    </cfRule>
  </conditionalFormatting>
  <conditionalFormatting sqref="D50">
    <cfRule type="expression" dxfId="166" priority="13">
      <formula>$B50&lt;&gt;""</formula>
    </cfRule>
  </conditionalFormatting>
  <conditionalFormatting sqref="D51:D52">
    <cfRule type="expression" dxfId="165" priority="12">
      <formula>$B51&lt;&gt;""</formula>
    </cfRule>
  </conditionalFormatting>
  <conditionalFormatting sqref="D49">
    <cfRule type="expression" dxfId="164" priority="11">
      <formula>$B49&lt;&gt;""</formula>
    </cfRule>
  </conditionalFormatting>
  <conditionalFormatting sqref="D48">
    <cfRule type="expression" dxfId="163" priority="10">
      <formula>$B48&lt;&gt;""</formula>
    </cfRule>
  </conditionalFormatting>
  <conditionalFormatting sqref="B147:B148">
    <cfRule type="expression" dxfId="162" priority="8">
      <formula>$L147="N/A"</formula>
    </cfRule>
    <cfRule type="expression" dxfId="161" priority="9">
      <formula>AND($L147="Req'd",$B147="")</formula>
    </cfRule>
  </conditionalFormatting>
  <conditionalFormatting sqref="B130">
    <cfRule type="expression" dxfId="160" priority="6">
      <formula>$L130="N/A"</formula>
    </cfRule>
    <cfRule type="expression" dxfId="159" priority="7">
      <formula>AND($L130="Req'd",$B130="")</formula>
    </cfRule>
  </conditionalFormatting>
  <conditionalFormatting sqref="C45:D45">
    <cfRule type="expression" dxfId="158" priority="3">
      <formula>$B45&lt;&gt;""</formula>
    </cfRule>
  </conditionalFormatting>
  <conditionalFormatting sqref="C54:D54">
    <cfRule type="expression" dxfId="157" priority="1">
      <formula>$B54&lt;&gt;""</formula>
    </cfRule>
  </conditionalFormatting>
  <conditionalFormatting sqref="C53:D53">
    <cfRule type="expression" dxfId="156" priority="2">
      <formula>$B53&lt;&gt;""</formula>
    </cfRule>
  </conditionalFormatting>
  <printOptions horizontalCentered="1"/>
  <pageMargins left="0.7" right="0.7" top="0.75" bottom="0.75" header="0.3" footer="0.3"/>
  <pageSetup scale="46" fitToHeight="0" orientation="landscape" verticalDpi="300" r:id="rId1"/>
  <headerFooter alignWithMargins="0">
    <oddHeader>&amp;LAppendix A.4 - BACT Cost Effectiveness (Main Power Generator)&amp;C&amp;"-,Bold"&amp;14LNG BACT ANALYSIS
6th Edition EPA Cost Control Manual</oddHeader>
  </headerFooter>
  <rowBreaks count="2" manualBreakCount="2">
    <brk id="41" max="6" man="1"/>
    <brk id="84" max="6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69"/>
  <sheetViews>
    <sheetView showGridLines="0" topLeftCell="A118" zoomScale="90" zoomScaleNormal="90" zoomScaleSheetLayoutView="100" zoomScalePageLayoutView="130" workbookViewId="0">
      <selection activeCell="G134" sqref="G134"/>
    </sheetView>
  </sheetViews>
  <sheetFormatPr defaultColWidth="9.140625" defaultRowHeight="15" x14ac:dyDescent="0.25"/>
  <cols>
    <col min="1" max="1" width="42" style="308" customWidth="1"/>
    <col min="2" max="2" width="17.140625" style="471" customWidth="1"/>
    <col min="3" max="3" width="14.5703125" style="471" customWidth="1"/>
    <col min="4" max="4" width="11.5703125" style="321" customWidth="1"/>
    <col min="5" max="5" width="12.42578125" style="321" customWidth="1"/>
    <col min="6" max="6" width="24.5703125" style="321" customWidth="1"/>
    <col min="7" max="7" width="48.7109375" style="311" customWidth="1"/>
    <col min="8" max="8" width="12.42578125" style="321" customWidth="1"/>
    <col min="9" max="9" width="12.42578125" style="308" customWidth="1"/>
    <col min="10" max="10" width="12.42578125" style="321" customWidth="1"/>
    <col min="11" max="11" width="17.42578125" style="321" customWidth="1"/>
    <col min="12" max="12" width="12.42578125" style="308" customWidth="1"/>
    <col min="13" max="13" width="30.28515625" style="308" customWidth="1"/>
    <col min="14" max="16384" width="9.140625" style="308"/>
  </cols>
  <sheetData>
    <row r="1" spans="1:13" ht="18.75" x14ac:dyDescent="0.3">
      <c r="A1" s="975" t="s">
        <v>428</v>
      </c>
      <c r="B1" s="975"/>
      <c r="C1" s="975"/>
      <c r="D1" s="975"/>
      <c r="E1" s="975"/>
      <c r="F1" s="975"/>
      <c r="G1" s="975"/>
      <c r="H1" s="307"/>
      <c r="I1" s="307"/>
      <c r="J1" s="307"/>
      <c r="K1" s="307"/>
      <c r="L1" s="307"/>
      <c r="M1" s="307"/>
    </row>
    <row r="2" spans="1:13" ht="18.75" x14ac:dyDescent="0.3">
      <c r="A2" s="975" t="s">
        <v>656</v>
      </c>
      <c r="B2" s="975"/>
      <c r="C2" s="975"/>
      <c r="D2" s="975"/>
      <c r="E2" s="975"/>
      <c r="F2" s="975"/>
      <c r="G2" s="975"/>
      <c r="H2" s="307"/>
      <c r="I2" s="307"/>
      <c r="J2" s="307"/>
      <c r="K2" s="307"/>
      <c r="L2" s="307"/>
      <c r="M2" s="307"/>
    </row>
    <row r="3" spans="1:13" ht="18.75" x14ac:dyDescent="0.3">
      <c r="A3" s="975" t="s">
        <v>596</v>
      </c>
      <c r="B3" s="975"/>
      <c r="C3" s="975"/>
      <c r="D3" s="975"/>
      <c r="E3" s="975"/>
      <c r="F3" s="975"/>
      <c r="G3" s="975"/>
      <c r="H3" s="307"/>
      <c r="I3" s="307"/>
      <c r="J3" s="307"/>
      <c r="K3" s="307"/>
      <c r="L3" s="307"/>
      <c r="M3" s="307"/>
    </row>
    <row r="4" spans="1:13" s="309" customFormat="1" ht="8.25" customHeight="1" x14ac:dyDescent="0.25">
      <c r="B4" s="310"/>
      <c r="C4" s="310"/>
      <c r="G4" s="311"/>
      <c r="H4" s="312"/>
    </row>
    <row r="5" spans="1:13" s="309" customFormat="1" ht="19.5" thickBot="1" x14ac:dyDescent="0.35">
      <c r="A5" s="313" t="s">
        <v>429</v>
      </c>
      <c r="B5" s="314"/>
      <c r="C5" s="314"/>
      <c r="D5" s="315"/>
      <c r="E5" s="315"/>
      <c r="F5" s="315"/>
      <c r="G5" s="316"/>
      <c r="H5" s="312"/>
      <c r="M5" s="307"/>
    </row>
    <row r="6" spans="1:13" s="319" customFormat="1" ht="15.75" thickTop="1" x14ac:dyDescent="0.25">
      <c r="A6" s="308"/>
      <c r="B6" s="317"/>
      <c r="C6" s="318"/>
      <c r="E6" s="320"/>
      <c r="F6" s="320"/>
      <c r="G6" s="311"/>
      <c r="H6" s="321"/>
      <c r="M6" s="322"/>
    </row>
    <row r="7" spans="1:13" s="309" customFormat="1" ht="30" x14ac:dyDescent="0.25">
      <c r="A7" s="323" t="s">
        <v>430</v>
      </c>
      <c r="B7" s="324" t="s">
        <v>431</v>
      </c>
      <c r="C7" s="325" t="s">
        <v>432</v>
      </c>
      <c r="D7" s="326" t="s">
        <v>433</v>
      </c>
      <c r="E7" s="327" t="s">
        <v>434</v>
      </c>
      <c r="F7" s="328"/>
      <c r="G7" s="329" t="s">
        <v>435</v>
      </c>
      <c r="H7" s="321"/>
      <c r="I7" s="330" t="s">
        <v>436</v>
      </c>
      <c r="J7" s="331" t="s">
        <v>437</v>
      </c>
      <c r="K7" s="331" t="s">
        <v>438</v>
      </c>
      <c r="L7" s="331" t="s">
        <v>439</v>
      </c>
      <c r="M7" s="332" t="s">
        <v>395</v>
      </c>
    </row>
    <row r="8" spans="1:13" s="309" customFormat="1" x14ac:dyDescent="0.25">
      <c r="B8" s="310"/>
      <c r="C8" s="310"/>
      <c r="G8" s="311"/>
      <c r="H8" s="312"/>
      <c r="M8" s="333"/>
    </row>
    <row r="9" spans="1:13" s="309" customFormat="1" x14ac:dyDescent="0.25">
      <c r="A9" s="972" t="s">
        <v>440</v>
      </c>
      <c r="B9" s="973"/>
      <c r="C9" s="973"/>
      <c r="D9" s="973"/>
      <c r="E9" s="973"/>
      <c r="F9" s="973"/>
      <c r="G9" s="974"/>
      <c r="H9" s="321"/>
      <c r="M9" s="333"/>
    </row>
    <row r="10" spans="1:13" ht="18.75" x14ac:dyDescent="0.25">
      <c r="A10" s="334" t="s">
        <v>441</v>
      </c>
      <c r="B10" s="335"/>
      <c r="C10" s="335"/>
      <c r="D10" s="336"/>
      <c r="E10" s="336"/>
      <c r="F10" s="336"/>
      <c r="G10" s="337"/>
      <c r="I10" s="338"/>
      <c r="J10" s="339"/>
      <c r="K10" s="340"/>
      <c r="L10" s="341"/>
      <c r="M10" s="342"/>
    </row>
    <row r="11" spans="1:13" x14ac:dyDescent="0.25">
      <c r="A11" s="343" t="s">
        <v>442</v>
      </c>
      <c r="B11" s="344">
        <f>'PowerGen Comp'!C71/2.47</f>
        <v>1328385.1955679352</v>
      </c>
      <c r="C11" s="345"/>
      <c r="D11" s="346" t="s">
        <v>443</v>
      </c>
      <c r="E11" s="347" t="s">
        <v>1</v>
      </c>
      <c r="F11" s="348"/>
      <c r="G11" s="690" t="s">
        <v>621</v>
      </c>
      <c r="I11" s="350"/>
      <c r="J11" s="351">
        <f>B11</f>
        <v>1328385.1955679352</v>
      </c>
      <c r="K11" s="352" t="s">
        <v>445</v>
      </c>
      <c r="L11" s="353" t="b">
        <f>IF(B11="","Req'd")</f>
        <v>0</v>
      </c>
      <c r="M11" s="354" t="s">
        <v>446</v>
      </c>
    </row>
    <row r="12" spans="1:13" x14ac:dyDescent="0.25">
      <c r="A12" s="355" t="s">
        <v>447</v>
      </c>
      <c r="B12" s="356">
        <v>0</v>
      </c>
      <c r="C12" s="357"/>
      <c r="D12" s="358" t="s">
        <v>443</v>
      </c>
      <c r="E12" s="359" t="s">
        <v>79</v>
      </c>
      <c r="F12" s="360"/>
      <c r="G12" s="683" t="s">
        <v>602</v>
      </c>
      <c r="I12" s="361"/>
      <c r="J12" s="362">
        <f>IF(ISNUMBER(B12),B12,C12)</f>
        <v>0</v>
      </c>
      <c r="K12" s="363" t="s">
        <v>445</v>
      </c>
      <c r="L12" s="353" t="b">
        <f>IF(B12="","Req'd")</f>
        <v>0</v>
      </c>
      <c r="M12" s="354" t="s">
        <v>446</v>
      </c>
    </row>
    <row r="13" spans="1:13" x14ac:dyDescent="0.25">
      <c r="A13" s="364" t="s">
        <v>448</v>
      </c>
      <c r="B13" s="356"/>
      <c r="C13" s="365">
        <f>D13*B11</f>
        <v>132838.51955679353</v>
      </c>
      <c r="D13" s="358">
        <v>0.1</v>
      </c>
      <c r="E13" s="359" t="str">
        <f>"C = "&amp;TEXT(D13,"0.00")&amp;" x A"</f>
        <v>C = 0.10 x A</v>
      </c>
      <c r="F13" s="360"/>
      <c r="G13" s="366" t="s">
        <v>449</v>
      </c>
      <c r="I13" s="350"/>
      <c r="J13" s="367">
        <f>IF(ISNUMBER(B13),B13,C13)</f>
        <v>132838.51955679353</v>
      </c>
      <c r="K13" s="352" t="s">
        <v>445</v>
      </c>
      <c r="L13" s="353"/>
      <c r="M13" s="354"/>
    </row>
    <row r="14" spans="1:13" x14ac:dyDescent="0.25">
      <c r="A14" s="364" t="s">
        <v>450</v>
      </c>
      <c r="B14" s="356"/>
      <c r="C14" s="365">
        <f>D14*(B11+B12)</f>
        <v>66419.259778396765</v>
      </c>
      <c r="D14" s="358">
        <v>0.05</v>
      </c>
      <c r="E14" s="359" t="str">
        <f>"D = "&amp;TEXT(D14,"0.00")&amp;" x (A+B)"</f>
        <v>D = 0.05 x (A+B)</v>
      </c>
      <c r="F14" s="360"/>
      <c r="G14" s="366" t="s">
        <v>449</v>
      </c>
      <c r="I14" s="350"/>
      <c r="J14" s="367">
        <f>IF(ISNUMBER(B14),B14,C14)</f>
        <v>66419.259778396765</v>
      </c>
      <c r="K14" s="352" t="s">
        <v>445</v>
      </c>
      <c r="L14" s="353"/>
      <c r="M14" s="354"/>
    </row>
    <row r="15" spans="1:13" x14ac:dyDescent="0.25">
      <c r="A15" s="364" t="s">
        <v>451</v>
      </c>
      <c r="B15" s="368"/>
      <c r="C15" s="365">
        <f>D15*SUM(J11:J13)</f>
        <v>43836.711453741867</v>
      </c>
      <c r="D15" s="369">
        <v>0.03</v>
      </c>
      <c r="E15" s="359" t="s">
        <v>452</v>
      </c>
      <c r="F15" s="360"/>
      <c r="G15" s="349" t="s">
        <v>453</v>
      </c>
      <c r="I15" s="350"/>
      <c r="J15" s="367">
        <f>IF(ISNUMBER(B15),B15,C15)</f>
        <v>43836.711453741867</v>
      </c>
      <c r="K15" s="352" t="s">
        <v>445</v>
      </c>
      <c r="L15" s="353"/>
      <c r="M15" s="354"/>
    </row>
    <row r="16" spans="1:13" x14ac:dyDescent="0.25">
      <c r="A16" s="370" t="s">
        <v>454</v>
      </c>
      <c r="B16" s="371">
        <f>J16</f>
        <v>1571479.6863568674</v>
      </c>
      <c r="C16" s="372"/>
      <c r="D16" s="373" t="s">
        <v>443</v>
      </c>
      <c r="E16" s="374" t="s">
        <v>455</v>
      </c>
      <c r="F16" s="375"/>
      <c r="G16" s="376"/>
      <c r="I16" s="377"/>
      <c r="J16" s="378">
        <f>SUM(J11:J15)</f>
        <v>1571479.6863568674</v>
      </c>
      <c r="K16" s="379" t="s">
        <v>445</v>
      </c>
      <c r="L16" s="380"/>
      <c r="M16" s="381"/>
    </row>
    <row r="17" spans="1:13" x14ac:dyDescent="0.25">
      <c r="A17" s="334" t="s">
        <v>456</v>
      </c>
      <c r="B17" s="382"/>
      <c r="C17" s="383"/>
      <c r="D17" s="373"/>
      <c r="E17" s="384"/>
      <c r="F17" s="384"/>
      <c r="G17" s="385"/>
      <c r="I17" s="338"/>
      <c r="J17" s="339"/>
      <c r="K17" s="340"/>
      <c r="L17" s="341"/>
      <c r="M17" s="342"/>
    </row>
    <row r="18" spans="1:13" x14ac:dyDescent="0.25">
      <c r="A18" s="343" t="s">
        <v>457</v>
      </c>
      <c r="B18" s="344"/>
      <c r="C18" s="386">
        <f t="shared" ref="C18:C23" si="0">D18*$B$16</f>
        <v>125718.37490854939</v>
      </c>
      <c r="D18" s="346">
        <v>0.08</v>
      </c>
      <c r="E18" s="387" t="str">
        <f t="shared" ref="E18:E23" si="1">TEXT(D18,"0.00")&amp;" x PE"</f>
        <v>0.08 x PE</v>
      </c>
      <c r="F18" s="348"/>
      <c r="G18" s="366" t="s">
        <v>449</v>
      </c>
      <c r="I18" s="350"/>
      <c r="J18" s="367">
        <f t="shared" ref="J18:J23" si="2">IF(ISNUMBER(B18),B18,C18)</f>
        <v>125718.37490854939</v>
      </c>
      <c r="K18" s="352" t="s">
        <v>445</v>
      </c>
      <c r="L18" s="353"/>
      <c r="M18" s="354"/>
    </row>
    <row r="19" spans="1:13" x14ac:dyDescent="0.25">
      <c r="A19" s="364" t="s">
        <v>458</v>
      </c>
      <c r="B19" s="356"/>
      <c r="C19" s="365">
        <f t="shared" si="0"/>
        <v>220007.15608996147</v>
      </c>
      <c r="D19" s="358">
        <v>0.14000000000000001</v>
      </c>
      <c r="E19" s="388" t="str">
        <f t="shared" si="1"/>
        <v>0.14 x PE</v>
      </c>
      <c r="F19" s="360"/>
      <c r="G19" s="366" t="s">
        <v>449</v>
      </c>
      <c r="I19" s="350"/>
      <c r="J19" s="367">
        <f t="shared" si="2"/>
        <v>220007.15608996147</v>
      </c>
      <c r="K19" s="352" t="s">
        <v>445</v>
      </c>
      <c r="L19" s="353"/>
      <c r="M19" s="354"/>
    </row>
    <row r="20" spans="1:13" x14ac:dyDescent="0.25">
      <c r="A20" s="364" t="s">
        <v>459</v>
      </c>
      <c r="B20" s="356"/>
      <c r="C20" s="365">
        <f t="shared" si="0"/>
        <v>62859.187454274695</v>
      </c>
      <c r="D20" s="358">
        <v>0.04</v>
      </c>
      <c r="E20" s="388" t="str">
        <f t="shared" si="1"/>
        <v>0.04 x PE</v>
      </c>
      <c r="F20" s="360"/>
      <c r="G20" s="366" t="s">
        <v>449</v>
      </c>
      <c r="I20" s="350"/>
      <c r="J20" s="367">
        <f>IF(ISNUMBER(B20),B20,C20)</f>
        <v>62859.187454274695</v>
      </c>
      <c r="K20" s="352" t="s">
        <v>445</v>
      </c>
      <c r="L20" s="353"/>
      <c r="M20" s="354"/>
    </row>
    <row r="21" spans="1:13" x14ac:dyDescent="0.25">
      <c r="A21" s="364" t="s">
        <v>460</v>
      </c>
      <c r="B21" s="356"/>
      <c r="C21" s="365">
        <f t="shared" si="0"/>
        <v>31429.593727137348</v>
      </c>
      <c r="D21" s="358">
        <v>0.02</v>
      </c>
      <c r="E21" s="388" t="str">
        <f t="shared" si="1"/>
        <v>0.02 x PE</v>
      </c>
      <c r="F21" s="360"/>
      <c r="G21" s="366" t="s">
        <v>449</v>
      </c>
      <c r="I21" s="350"/>
      <c r="J21" s="367">
        <f t="shared" si="2"/>
        <v>31429.593727137348</v>
      </c>
      <c r="K21" s="352" t="s">
        <v>445</v>
      </c>
      <c r="L21" s="353"/>
      <c r="M21" s="354"/>
    </row>
    <row r="22" spans="1:13" x14ac:dyDescent="0.25">
      <c r="A22" s="364" t="s">
        <v>461</v>
      </c>
      <c r="B22" s="356"/>
      <c r="C22" s="365">
        <f t="shared" si="0"/>
        <v>15714.796863568674</v>
      </c>
      <c r="D22" s="358">
        <v>0.01</v>
      </c>
      <c r="E22" s="388" t="str">
        <f t="shared" si="1"/>
        <v>0.01 x PE</v>
      </c>
      <c r="F22" s="360"/>
      <c r="G22" s="366" t="s">
        <v>449</v>
      </c>
      <c r="I22" s="350"/>
      <c r="J22" s="367">
        <f t="shared" si="2"/>
        <v>15714.796863568674</v>
      </c>
      <c r="K22" s="352" t="s">
        <v>445</v>
      </c>
      <c r="L22" s="353"/>
      <c r="M22" s="354"/>
    </row>
    <row r="23" spans="1:13" x14ac:dyDescent="0.25">
      <c r="A23" s="364" t="s">
        <v>462</v>
      </c>
      <c r="B23" s="356"/>
      <c r="C23" s="365">
        <f t="shared" si="0"/>
        <v>15714.796863568674</v>
      </c>
      <c r="D23" s="358">
        <v>0.01</v>
      </c>
      <c r="E23" s="388" t="str">
        <f t="shared" si="1"/>
        <v>0.01 x PE</v>
      </c>
      <c r="F23" s="360"/>
      <c r="G23" s="366" t="s">
        <v>449</v>
      </c>
      <c r="I23" s="350"/>
      <c r="J23" s="367">
        <f t="shared" si="2"/>
        <v>15714.796863568674</v>
      </c>
      <c r="K23" s="352" t="s">
        <v>445</v>
      </c>
      <c r="L23" s="353"/>
      <c r="M23" s="354"/>
    </row>
    <row r="24" spans="1:13" x14ac:dyDescent="0.25">
      <c r="A24" s="364" t="s">
        <v>463</v>
      </c>
      <c r="B24" s="368">
        <f>D24*(B11+B12)</f>
        <v>92986.963689755474</v>
      </c>
      <c r="C24" s="389"/>
      <c r="D24" s="390">
        <v>7.0000000000000007E-2</v>
      </c>
      <c r="E24" s="388" t="str">
        <f>D24&amp;" x (A+B)"</f>
        <v>0.07 x (A+B)</v>
      </c>
      <c r="F24" s="360"/>
      <c r="G24" s="366" t="s">
        <v>464</v>
      </c>
      <c r="I24" s="391"/>
      <c r="J24" s="392">
        <f>B24</f>
        <v>92986.963689755474</v>
      </c>
      <c r="K24" s="393" t="s">
        <v>445</v>
      </c>
      <c r="L24" s="394" t="b">
        <f>IF(B24="","Req'd")</f>
        <v>0</v>
      </c>
      <c r="M24" s="395"/>
    </row>
    <row r="25" spans="1:13" x14ac:dyDescent="0.25">
      <c r="A25" s="396" t="s">
        <v>465</v>
      </c>
      <c r="B25" s="371">
        <f>J25</f>
        <v>564430.86959681567</v>
      </c>
      <c r="C25" s="397"/>
      <c r="D25" s="373" t="s">
        <v>443</v>
      </c>
      <c r="E25" s="398" t="s">
        <v>466</v>
      </c>
      <c r="F25" s="399"/>
      <c r="G25" s="376"/>
      <c r="I25" s="400"/>
      <c r="J25" s="401">
        <f>SUM(J18:J24)</f>
        <v>564430.86959681567</v>
      </c>
      <c r="K25" s="402" t="s">
        <v>445</v>
      </c>
      <c r="L25" s="403"/>
      <c r="M25" s="404"/>
    </row>
    <row r="26" spans="1:13" s="309" customFormat="1" x14ac:dyDescent="0.25">
      <c r="A26" s="405" t="s">
        <v>467</v>
      </c>
      <c r="B26" s="406">
        <f>SUM(B16,B25)</f>
        <v>2135910.5559536833</v>
      </c>
      <c r="C26" s="407"/>
      <c r="D26" s="408" t="s">
        <v>443</v>
      </c>
      <c r="E26" s="409" t="s">
        <v>468</v>
      </c>
      <c r="F26" s="410"/>
      <c r="G26" s="376"/>
      <c r="H26" s="308"/>
      <c r="I26" s="411"/>
      <c r="J26" s="412">
        <f>SUM(J16,J25)</f>
        <v>2135910.5559536833</v>
      </c>
      <c r="K26" s="413" t="s">
        <v>445</v>
      </c>
      <c r="L26" s="414"/>
      <c r="M26" s="415"/>
    </row>
    <row r="27" spans="1:13" x14ac:dyDescent="0.25">
      <c r="A27" s="416"/>
      <c r="B27" s="417"/>
      <c r="C27" s="418"/>
      <c r="D27" s="419"/>
      <c r="E27" s="420"/>
      <c r="F27" s="420"/>
      <c r="I27" s="421"/>
      <c r="J27" s="422"/>
      <c r="K27" s="423"/>
      <c r="L27" s="424"/>
      <c r="M27" s="425"/>
    </row>
    <row r="28" spans="1:13" s="309" customFormat="1" x14ac:dyDescent="0.25">
      <c r="A28" s="972" t="s">
        <v>469</v>
      </c>
      <c r="B28" s="973"/>
      <c r="C28" s="973"/>
      <c r="D28" s="973"/>
      <c r="E28" s="973"/>
      <c r="F28" s="973"/>
      <c r="G28" s="974"/>
      <c r="H28" s="321"/>
      <c r="M28" s="333"/>
    </row>
    <row r="29" spans="1:13" s="309" customFormat="1" x14ac:dyDescent="0.25">
      <c r="A29" s="426" t="s">
        <v>470</v>
      </c>
      <c r="B29" s="427"/>
      <c r="C29" s="427"/>
      <c r="D29" s="408"/>
      <c r="E29" s="428"/>
      <c r="F29" s="428"/>
      <c r="G29" s="429"/>
      <c r="H29" s="321"/>
      <c r="M29" s="333"/>
    </row>
    <row r="30" spans="1:13" s="309" customFormat="1" x14ac:dyDescent="0.25">
      <c r="A30" s="343" t="s">
        <v>471</v>
      </c>
      <c r="B30" s="430"/>
      <c r="C30" s="386">
        <f>D30*$B$16</f>
        <v>157147.96863568676</v>
      </c>
      <c r="D30" s="346">
        <v>0.1</v>
      </c>
      <c r="E30" s="387" t="str">
        <f>TEXT(D30,"0.00")&amp;" x PE"</f>
        <v>0.10 x PE</v>
      </c>
      <c r="F30" s="348"/>
      <c r="G30" s="366" t="s">
        <v>449</v>
      </c>
      <c r="H30" s="321"/>
      <c r="I30" s="411"/>
      <c r="J30" s="431">
        <f>IF(ISNUMBER(B30),B30,C30)</f>
        <v>157147.96863568676</v>
      </c>
      <c r="K30" s="413" t="s">
        <v>445</v>
      </c>
      <c r="L30" s="432" t="b">
        <v>0</v>
      </c>
      <c r="M30" s="415"/>
    </row>
    <row r="31" spans="1:13" s="309" customFormat="1" x14ac:dyDescent="0.25">
      <c r="A31" s="343" t="s">
        <v>472</v>
      </c>
      <c r="B31" s="430"/>
      <c r="C31" s="386">
        <f>D31*$B$16</f>
        <v>78573.98431784338</v>
      </c>
      <c r="D31" s="346">
        <v>0.05</v>
      </c>
      <c r="E31" s="387" t="str">
        <f>TEXT(D31,"0.00")&amp;" x PE"</f>
        <v>0.05 x PE</v>
      </c>
      <c r="F31" s="348"/>
      <c r="G31" s="366" t="s">
        <v>449</v>
      </c>
      <c r="H31" s="321"/>
      <c r="I31" s="411"/>
      <c r="J31" s="431">
        <f>IF(ISNUMBER(B31),B31,C31)</f>
        <v>78573.98431784338</v>
      </c>
      <c r="K31" s="413" t="s">
        <v>445</v>
      </c>
      <c r="L31" s="432" t="b">
        <v>0</v>
      </c>
      <c r="M31" s="415"/>
    </row>
    <row r="32" spans="1:13" s="309" customFormat="1" x14ac:dyDescent="0.25">
      <c r="A32" s="343" t="s">
        <v>473</v>
      </c>
      <c r="B32" s="430"/>
      <c r="C32" s="386">
        <f>D32*$B$16</f>
        <v>157147.96863568676</v>
      </c>
      <c r="D32" s="346">
        <v>0.1</v>
      </c>
      <c r="E32" s="387" t="str">
        <f>TEXT(D32,"0.00")&amp;" x PE"</f>
        <v>0.10 x PE</v>
      </c>
      <c r="F32" s="348"/>
      <c r="G32" s="366" t="s">
        <v>449</v>
      </c>
      <c r="H32" s="321"/>
      <c r="I32" s="411"/>
      <c r="J32" s="431">
        <f>IF(ISNUMBER(B32),B32,C32)</f>
        <v>157147.96863568676</v>
      </c>
      <c r="K32" s="413" t="s">
        <v>445</v>
      </c>
      <c r="L32" s="432" t="b">
        <v>0</v>
      </c>
      <c r="M32" s="415"/>
    </row>
    <row r="33" spans="1:13" s="309" customFormat="1" x14ac:dyDescent="0.25">
      <c r="A33" s="364" t="s">
        <v>474</v>
      </c>
      <c r="B33" s="433"/>
      <c r="C33" s="365">
        <f>D33*$B$16</f>
        <v>31429.593727137348</v>
      </c>
      <c r="D33" s="358">
        <v>0.02</v>
      </c>
      <c r="E33" s="388" t="str">
        <f>TEXT(D33,"0.00")&amp;" x PE"</f>
        <v>0.02 x PE</v>
      </c>
      <c r="F33" s="360"/>
      <c r="G33" s="366" t="s">
        <v>449</v>
      </c>
      <c r="H33" s="321"/>
      <c r="I33" s="411"/>
      <c r="J33" s="431">
        <f>IF(ISNUMBER(B33),B33,C33)</f>
        <v>31429.593727137348</v>
      </c>
      <c r="K33" s="413" t="s">
        <v>445</v>
      </c>
      <c r="L33" s="432" t="b">
        <v>0</v>
      </c>
      <c r="M33" s="415"/>
    </row>
    <row r="34" spans="1:13" s="309" customFormat="1" x14ac:dyDescent="0.25">
      <c r="A34" s="434" t="s">
        <v>475</v>
      </c>
      <c r="B34" s="435"/>
      <c r="C34" s="436">
        <f>D34*$B$16</f>
        <v>15714.796863568674</v>
      </c>
      <c r="D34" s="437">
        <v>0.01</v>
      </c>
      <c r="E34" s="438" t="str">
        <f>TEXT(D34,"0.00")&amp;" x PE"</f>
        <v>0.01 x PE</v>
      </c>
      <c r="F34" s="439"/>
      <c r="G34" s="366" t="s">
        <v>449</v>
      </c>
      <c r="H34" s="321"/>
      <c r="I34" s="411"/>
      <c r="J34" s="431">
        <f>IF(ISNUMBER(B34),B34,C34)</f>
        <v>15714.796863568674</v>
      </c>
      <c r="K34" s="413" t="s">
        <v>445</v>
      </c>
      <c r="L34" s="432" t="b">
        <v>0</v>
      </c>
      <c r="M34" s="415"/>
    </row>
    <row r="35" spans="1:13" s="309" customFormat="1" x14ac:dyDescent="0.25">
      <c r="A35" s="405" t="s">
        <v>476</v>
      </c>
      <c r="B35" s="440">
        <f>J35</f>
        <v>440014.31217992294</v>
      </c>
      <c r="C35" s="441"/>
      <c r="D35" s="442" t="s">
        <v>443</v>
      </c>
      <c r="E35" s="443" t="s">
        <v>477</v>
      </c>
      <c r="F35" s="444"/>
      <c r="G35" s="376"/>
      <c r="H35" s="321"/>
      <c r="I35" s="411"/>
      <c r="J35" s="412">
        <f>SUM(J30:J34)</f>
        <v>440014.31217992294</v>
      </c>
      <c r="K35" s="413" t="s">
        <v>445</v>
      </c>
      <c r="L35" s="432"/>
      <c r="M35" s="415"/>
    </row>
    <row r="36" spans="1:13" s="309" customFormat="1" x14ac:dyDescent="0.25">
      <c r="B36" s="310"/>
      <c r="C36" s="310"/>
      <c r="G36" s="445"/>
      <c r="H36" s="312"/>
    </row>
    <row r="37" spans="1:13" s="309" customFormat="1" x14ac:dyDescent="0.25">
      <c r="A37" s="426" t="s">
        <v>478</v>
      </c>
      <c r="B37" s="427"/>
      <c r="C37" s="427"/>
      <c r="D37" s="408"/>
      <c r="E37" s="428"/>
      <c r="F37" s="428"/>
      <c r="G37" s="429"/>
      <c r="H37" s="321"/>
      <c r="M37" s="333"/>
    </row>
    <row r="38" spans="1:13" s="453" customFormat="1" x14ac:dyDescent="0.25">
      <c r="A38" s="446" t="s">
        <v>77</v>
      </c>
      <c r="B38" s="447"/>
      <c r="C38" s="448">
        <f>D38*(B26+B35)</f>
        <v>77277.746044008192</v>
      </c>
      <c r="D38" s="449">
        <v>0.03</v>
      </c>
      <c r="E38" s="450" t="str">
        <f>"E = "&amp;TEXT(D38,"0.00") &amp;" x (DC+IC)"</f>
        <v>E = 0.03 x (DC+IC)</v>
      </c>
      <c r="F38" s="451"/>
      <c r="G38" s="452" t="s">
        <v>479</v>
      </c>
      <c r="I38" s="454"/>
      <c r="J38" s="431">
        <f>IF(ISNUMBER(B38),B38,C38)</f>
        <v>77277.746044008192</v>
      </c>
      <c r="K38" s="413" t="s">
        <v>445</v>
      </c>
      <c r="L38" s="432"/>
      <c r="M38" s="455"/>
    </row>
    <row r="39" spans="1:13" s="453" customFormat="1" x14ac:dyDescent="0.25">
      <c r="A39" s="446" t="s">
        <v>86</v>
      </c>
      <c r="B39" s="447"/>
      <c r="C39" s="448">
        <f>D39*SUM(B26,B35,J38)</f>
        <v>79596.078425328436</v>
      </c>
      <c r="D39" s="449">
        <v>0.03</v>
      </c>
      <c r="E39" s="456" t="str">
        <f>"F = "&amp;TEXT(D39,"0.00")&amp;" x (DC+IC+Cont)"</f>
        <v>F = 0.03 x (DC+IC+Cont)</v>
      </c>
      <c r="F39" s="457"/>
      <c r="G39" s="349" t="s">
        <v>480</v>
      </c>
      <c r="I39" s="454"/>
      <c r="J39" s="431">
        <f>IF(ISNUMBER(B39),B39,C39)</f>
        <v>79596.078425328436</v>
      </c>
      <c r="K39" s="413" t="s">
        <v>445</v>
      </c>
      <c r="L39" s="432"/>
      <c r="M39" s="455"/>
    </row>
    <row r="40" spans="1:13" s="453" customFormat="1" x14ac:dyDescent="0.25">
      <c r="A40" s="458" t="s">
        <v>481</v>
      </c>
      <c r="B40" s="459"/>
      <c r="C40" s="460">
        <f>J135*J134</f>
        <v>4076.6271870703458</v>
      </c>
      <c r="D40" s="461" t="s">
        <v>443</v>
      </c>
      <c r="E40" s="462" t="s">
        <v>482</v>
      </c>
      <c r="F40" s="463"/>
      <c r="G40" s="464" t="s">
        <v>483</v>
      </c>
      <c r="I40" s="454"/>
      <c r="J40" s="431">
        <f>IF(ISNUMBER(B40),B40,C40)</f>
        <v>4076.6271870703458</v>
      </c>
      <c r="K40" s="413" t="s">
        <v>445</v>
      </c>
      <c r="L40" s="432"/>
      <c r="M40" s="465" t="s">
        <v>484</v>
      </c>
    </row>
    <row r="41" spans="1:13" s="453" customFormat="1" ht="15.75" customHeight="1" x14ac:dyDescent="0.25">
      <c r="A41" s="466" t="s">
        <v>43</v>
      </c>
      <c r="B41" s="467">
        <f>J41</f>
        <v>2736875.3197900131</v>
      </c>
      <c r="C41" s="468"/>
      <c r="D41" s="461" t="s">
        <v>443</v>
      </c>
      <c r="E41" s="469" t="s">
        <v>485</v>
      </c>
      <c r="F41" s="470"/>
      <c r="G41" s="376"/>
      <c r="I41" s="454"/>
      <c r="J41" s="412">
        <f>SUM(J26,J35,J38,J39,J40)</f>
        <v>2736875.3197900131</v>
      </c>
      <c r="K41" s="413" t="s">
        <v>445</v>
      </c>
      <c r="L41" s="432"/>
      <c r="M41" s="455"/>
    </row>
    <row r="42" spans="1:13" x14ac:dyDescent="0.25">
      <c r="D42" s="472"/>
      <c r="I42" s="309"/>
      <c r="J42" s="309"/>
      <c r="K42" s="309"/>
      <c r="L42" s="309"/>
      <c r="M42" s="333"/>
    </row>
    <row r="43" spans="1:13" s="309" customFormat="1" x14ac:dyDescent="0.25">
      <c r="A43" s="972" t="s">
        <v>486</v>
      </c>
      <c r="B43" s="973"/>
      <c r="C43" s="973"/>
      <c r="D43" s="973"/>
      <c r="E43" s="973"/>
      <c r="F43" s="973"/>
      <c r="G43" s="974"/>
      <c r="H43" s="473"/>
      <c r="M43" s="333"/>
    </row>
    <row r="44" spans="1:13" s="309" customFormat="1" x14ac:dyDescent="0.25">
      <c r="A44" s="426" t="s">
        <v>487</v>
      </c>
      <c r="B44" s="474"/>
      <c r="C44" s="474"/>
      <c r="D44" s="475"/>
      <c r="E44" s="428"/>
      <c r="F44" s="428"/>
      <c r="G44" s="429"/>
      <c r="H44" s="321"/>
      <c r="M44" s="333"/>
    </row>
    <row r="45" spans="1:13" s="453" customFormat="1" x14ac:dyDescent="0.25">
      <c r="A45" s="476" t="s">
        <v>3</v>
      </c>
      <c r="B45" s="447"/>
      <c r="C45" s="477"/>
      <c r="D45" s="478" t="s">
        <v>443</v>
      </c>
      <c r="E45" s="479"/>
      <c r="F45" s="480"/>
      <c r="G45" s="481" t="s">
        <v>444</v>
      </c>
      <c r="I45" s="454"/>
      <c r="J45" s="431">
        <f t="shared" ref="J45:J54" si="3">IF(ISNUMBER(B45),B45,C45)</f>
        <v>0</v>
      </c>
      <c r="K45" s="431"/>
      <c r="L45" s="353" t="str">
        <f>IF(B45="","Req'd")</f>
        <v>Req'd</v>
      </c>
      <c r="M45" s="354" t="s">
        <v>446</v>
      </c>
    </row>
    <row r="46" spans="1:13" s="453" customFormat="1" x14ac:dyDescent="0.25">
      <c r="A46" s="482" t="s">
        <v>488</v>
      </c>
      <c r="B46" s="483"/>
      <c r="C46" s="484">
        <f>J45*D46</f>
        <v>0</v>
      </c>
      <c r="D46" s="485">
        <v>0.15</v>
      </c>
      <c r="E46" s="486" t="s">
        <v>489</v>
      </c>
      <c r="F46" s="487"/>
      <c r="G46" s="349" t="s">
        <v>490</v>
      </c>
      <c r="I46" s="454"/>
      <c r="J46" s="431">
        <f t="shared" si="3"/>
        <v>0</v>
      </c>
      <c r="K46" s="431"/>
      <c r="L46" s="432"/>
      <c r="M46" s="354" t="s">
        <v>446</v>
      </c>
    </row>
    <row r="47" spans="1:13" s="453" customFormat="1" x14ac:dyDescent="0.25">
      <c r="A47" s="476" t="s">
        <v>491</v>
      </c>
      <c r="B47" s="447"/>
      <c r="C47" s="484">
        <f>B41*D47</f>
        <v>41053.129796850197</v>
      </c>
      <c r="D47" s="488">
        <v>1.4999999999999999E-2</v>
      </c>
      <c r="E47" s="479" t="str">
        <f>TEXT(D47,"0.000")&amp;" x TCI"</f>
        <v>0.015 x TCI</v>
      </c>
      <c r="F47" s="480"/>
      <c r="G47" s="349" t="s">
        <v>492</v>
      </c>
      <c r="I47" s="454"/>
      <c r="J47" s="431">
        <f t="shared" si="3"/>
        <v>41053.129796850197</v>
      </c>
      <c r="K47" s="431"/>
      <c r="L47" s="432"/>
      <c r="M47" s="455"/>
    </row>
    <row r="48" spans="1:13" s="453" customFormat="1" x14ac:dyDescent="0.25">
      <c r="A48" s="476" t="s">
        <v>493</v>
      </c>
      <c r="B48" s="447"/>
      <c r="C48" s="484">
        <f>J47</f>
        <v>41053.129796850197</v>
      </c>
      <c r="D48" s="485" t="s">
        <v>443</v>
      </c>
      <c r="E48" s="486" t="s">
        <v>494</v>
      </c>
      <c r="F48" s="480"/>
      <c r="G48" s="349" t="s">
        <v>495</v>
      </c>
      <c r="I48" s="454"/>
      <c r="J48" s="431">
        <f t="shared" si="3"/>
        <v>41053.129796850197</v>
      </c>
      <c r="K48" s="431"/>
      <c r="L48" s="432"/>
      <c r="M48" s="455"/>
    </row>
    <row r="49" spans="1:13" x14ac:dyDescent="0.25">
      <c r="A49" s="482" t="s">
        <v>496</v>
      </c>
      <c r="B49" s="483"/>
      <c r="C49" s="484">
        <f>J134*J138*J119</f>
        <v>106283.49452004831</v>
      </c>
      <c r="D49" s="485" t="s">
        <v>443</v>
      </c>
      <c r="E49" s="489" t="s">
        <v>497</v>
      </c>
      <c r="F49" s="487"/>
      <c r="G49" s="490" t="s">
        <v>483</v>
      </c>
      <c r="H49" s="308"/>
      <c r="I49" s="454"/>
      <c r="J49" s="431">
        <f t="shared" si="3"/>
        <v>106283.49452004831</v>
      </c>
      <c r="K49" s="431"/>
      <c r="L49" s="432"/>
      <c r="M49" s="491" t="s">
        <v>498</v>
      </c>
    </row>
    <row r="50" spans="1:13" x14ac:dyDescent="0.25">
      <c r="A50" s="492" t="s">
        <v>499</v>
      </c>
      <c r="B50" s="483"/>
      <c r="C50" s="484">
        <f>J123*J130*J119</f>
        <v>188136.65859227502</v>
      </c>
      <c r="D50" s="485" t="s">
        <v>443</v>
      </c>
      <c r="E50" s="493" t="s">
        <v>483</v>
      </c>
      <c r="F50" s="494"/>
      <c r="G50" s="490" t="s">
        <v>483</v>
      </c>
      <c r="H50" s="308"/>
      <c r="I50" s="495"/>
      <c r="J50" s="431">
        <f t="shared" si="3"/>
        <v>188136.65859227502</v>
      </c>
      <c r="K50" s="431"/>
      <c r="L50" s="432"/>
      <c r="M50" s="491" t="s">
        <v>500</v>
      </c>
    </row>
    <row r="51" spans="1:13" x14ac:dyDescent="0.25">
      <c r="A51" s="482" t="s">
        <v>8</v>
      </c>
      <c r="B51" s="483"/>
      <c r="C51" s="496">
        <f>J150</f>
        <v>78424.482386674252</v>
      </c>
      <c r="D51" s="485" t="s">
        <v>443</v>
      </c>
      <c r="E51" s="489" t="s">
        <v>483</v>
      </c>
      <c r="F51" s="487"/>
      <c r="G51" s="490" t="s">
        <v>483</v>
      </c>
      <c r="H51" s="308"/>
      <c r="I51" s="497"/>
      <c r="J51" s="431">
        <f t="shared" si="3"/>
        <v>78424.482386674252</v>
      </c>
      <c r="K51" s="431"/>
      <c r="L51" s="432"/>
      <c r="M51" s="455"/>
    </row>
    <row r="52" spans="1:13" x14ac:dyDescent="0.25">
      <c r="A52" s="482" t="s">
        <v>501</v>
      </c>
      <c r="B52" s="483"/>
      <c r="C52" s="484">
        <f>J51*D52</f>
        <v>7842.4482386674254</v>
      </c>
      <c r="D52" s="485">
        <v>0.1</v>
      </c>
      <c r="E52" s="479" t="str">
        <f>TEXT(D52,"0.000")&amp;" x Cat Repl"</f>
        <v>0.100 x Cat Repl</v>
      </c>
      <c r="F52" s="487"/>
      <c r="G52" s="490" t="s">
        <v>502</v>
      </c>
      <c r="H52" s="308"/>
      <c r="I52" s="497"/>
      <c r="J52" s="431">
        <f t="shared" si="3"/>
        <v>7842.4482386674254</v>
      </c>
      <c r="K52" s="431"/>
      <c r="L52" s="498"/>
      <c r="M52" s="499"/>
    </row>
    <row r="53" spans="1:13" x14ac:dyDescent="0.25">
      <c r="A53" s="482" t="s">
        <v>503</v>
      </c>
      <c r="B53" s="483"/>
      <c r="C53" s="500"/>
      <c r="D53" s="485" t="s">
        <v>443</v>
      </c>
      <c r="E53" s="489"/>
      <c r="F53" s="487"/>
      <c r="G53" s="349" t="s">
        <v>444</v>
      </c>
      <c r="H53" s="453"/>
      <c r="I53" s="454"/>
      <c r="J53" s="431">
        <f t="shared" si="3"/>
        <v>0</v>
      </c>
      <c r="K53" s="431"/>
      <c r="L53" s="353" t="str">
        <f>IF(B53="","Req'd")</f>
        <v>Req'd</v>
      </c>
      <c r="M53" s="354" t="s">
        <v>446</v>
      </c>
    </row>
    <row r="54" spans="1:13" x14ac:dyDescent="0.25">
      <c r="A54" s="501" t="s">
        <v>504</v>
      </c>
      <c r="B54" s="502"/>
      <c r="C54" s="503"/>
      <c r="D54" s="504" t="s">
        <v>443</v>
      </c>
      <c r="E54" s="505"/>
      <c r="F54" s="506"/>
      <c r="G54" s="507" t="s">
        <v>444</v>
      </c>
      <c r="H54" s="453"/>
      <c r="I54" s="454"/>
      <c r="J54" s="431">
        <f t="shared" si="3"/>
        <v>0</v>
      </c>
      <c r="K54" s="431"/>
      <c r="L54" s="353" t="str">
        <f>IF(B54="","Req'd")</f>
        <v>Req'd</v>
      </c>
      <c r="M54" s="354" t="s">
        <v>446</v>
      </c>
    </row>
    <row r="55" spans="1:13" x14ac:dyDescent="0.25">
      <c r="A55" s="466" t="s">
        <v>104</v>
      </c>
      <c r="B55" s="467">
        <f>J55</f>
        <v>462793.34333136544</v>
      </c>
      <c r="C55" s="508"/>
      <c r="D55" s="461" t="s">
        <v>443</v>
      </c>
      <c r="E55" s="509" t="s">
        <v>505</v>
      </c>
      <c r="F55" s="444"/>
      <c r="G55" s="376"/>
      <c r="H55" s="308"/>
      <c r="I55" s="454"/>
      <c r="J55" s="412">
        <f>SUM(J45:J54)</f>
        <v>462793.34333136544</v>
      </c>
      <c r="K55" s="412"/>
      <c r="L55" s="432"/>
      <c r="M55" s="455"/>
    </row>
    <row r="56" spans="1:13" x14ac:dyDescent="0.25">
      <c r="A56" s="510"/>
      <c r="B56" s="511"/>
      <c r="C56" s="511"/>
      <c r="D56" s="512"/>
      <c r="E56" s="513"/>
      <c r="F56" s="514"/>
      <c r="H56" s="308"/>
      <c r="I56" s="515"/>
      <c r="J56" s="423"/>
      <c r="K56" s="423"/>
      <c r="L56" s="424"/>
      <c r="M56" s="516"/>
    </row>
    <row r="57" spans="1:13" s="309" customFormat="1" x14ac:dyDescent="0.25">
      <c r="A57" s="972" t="s">
        <v>106</v>
      </c>
      <c r="B57" s="973"/>
      <c r="C57" s="973"/>
      <c r="D57" s="973"/>
      <c r="E57" s="973"/>
      <c r="F57" s="973"/>
      <c r="G57" s="974"/>
      <c r="H57" s="321"/>
      <c r="M57" s="333"/>
    </row>
    <row r="58" spans="1:13" s="309" customFormat="1" x14ac:dyDescent="0.25">
      <c r="A58" s="426" t="s">
        <v>506</v>
      </c>
      <c r="B58" s="474"/>
      <c r="C58" s="474"/>
      <c r="D58" s="475"/>
      <c r="E58" s="428"/>
      <c r="F58" s="428"/>
      <c r="G58" s="429"/>
      <c r="H58" s="321"/>
      <c r="M58" s="333"/>
    </row>
    <row r="59" spans="1:13" s="453" customFormat="1" x14ac:dyDescent="0.25">
      <c r="A59" s="476" t="s">
        <v>507</v>
      </c>
      <c r="B59" s="517"/>
      <c r="C59" s="484">
        <f>SUM(J45:J48)*D59</f>
        <v>49263.755756220235</v>
      </c>
      <c r="D59" s="488">
        <v>0.6</v>
      </c>
      <c r="E59" s="479" t="str">
        <f>TEXT(D59,"0.000")&amp;" x Op/Super/Maint Labor &amp; Mtls"</f>
        <v>0.600 x Op/Super/Maint Labor &amp; Mtls</v>
      </c>
      <c r="F59" s="480"/>
      <c r="G59" s="452" t="s">
        <v>508</v>
      </c>
      <c r="I59" s="454"/>
      <c r="J59" s="431">
        <f>IF(ISNUMBER(B59),B59,C59)</f>
        <v>49263.755756220235</v>
      </c>
      <c r="K59" s="431"/>
      <c r="L59" s="432"/>
      <c r="M59" s="455"/>
    </row>
    <row r="60" spans="1:13" s="453" customFormat="1" x14ac:dyDescent="0.25">
      <c r="A60" s="482" t="s">
        <v>509</v>
      </c>
      <c r="B60" s="518"/>
      <c r="C60" s="484">
        <f>B41*D60</f>
        <v>27368.753197900132</v>
      </c>
      <c r="D60" s="488">
        <v>0.01</v>
      </c>
      <c r="E60" s="479" t="str">
        <f>TEXT(D60,"0.0000")&amp;" x TCI"</f>
        <v>0.0100 x TCI</v>
      </c>
      <c r="F60" s="480"/>
      <c r="G60" s="349" t="s">
        <v>510</v>
      </c>
      <c r="H60" s="519"/>
      <c r="I60" s="454"/>
      <c r="J60" s="431">
        <f>IF(ISNUMBER(B60),B60,C60)</f>
        <v>27368.753197900132</v>
      </c>
      <c r="K60" s="431"/>
      <c r="L60" s="432"/>
      <c r="M60" s="455"/>
    </row>
    <row r="61" spans="1:13" s="453" customFormat="1" x14ac:dyDescent="0.25">
      <c r="A61" s="476" t="s">
        <v>511</v>
      </c>
      <c r="B61" s="520"/>
      <c r="C61" s="484">
        <f>B41*D61</f>
        <v>27368.753197900132</v>
      </c>
      <c r="D61" s="488">
        <v>0.01</v>
      </c>
      <c r="E61" s="479" t="str">
        <f>TEXT(D61,"0.000")&amp;" x TCI"</f>
        <v>0.010 x TCI</v>
      </c>
      <c r="F61" s="480"/>
      <c r="G61" s="349" t="s">
        <v>510</v>
      </c>
      <c r="I61" s="454"/>
      <c r="J61" s="431">
        <f>IF(ISNUMBER(B61),B61,C61)</f>
        <v>27368.753197900132</v>
      </c>
      <c r="K61" s="431"/>
      <c r="L61" s="432"/>
      <c r="M61" s="455"/>
    </row>
    <row r="62" spans="1:13" x14ac:dyDescent="0.25">
      <c r="A62" s="521" t="s">
        <v>512</v>
      </c>
      <c r="B62" s="522"/>
      <c r="C62" s="523">
        <f>B41*D62</f>
        <v>54737.506395800265</v>
      </c>
      <c r="D62" s="524">
        <v>0.02</v>
      </c>
      <c r="E62" s="505" t="str">
        <f>TEXT(D62,"0.000")&amp;" x TCI"</f>
        <v>0.020 x TCI</v>
      </c>
      <c r="F62" s="506"/>
      <c r="G62" s="507" t="s">
        <v>513</v>
      </c>
      <c r="H62" s="453"/>
      <c r="I62" s="454"/>
      <c r="J62" s="431">
        <f>IF(ISNUMBER(B62),B62,C62)</f>
        <v>54737.506395800265</v>
      </c>
      <c r="K62" s="431"/>
      <c r="L62" s="432"/>
      <c r="M62" s="455"/>
    </row>
    <row r="63" spans="1:13" x14ac:dyDescent="0.25">
      <c r="A63" s="466" t="s">
        <v>514</v>
      </c>
      <c r="B63" s="467">
        <f>J63</f>
        <v>158738.76854782077</v>
      </c>
      <c r="C63" s="508"/>
      <c r="D63" s="461" t="s">
        <v>443</v>
      </c>
      <c r="E63" s="509" t="s">
        <v>505</v>
      </c>
      <c r="F63" s="444"/>
      <c r="G63" s="376"/>
      <c r="H63" s="308"/>
      <c r="I63" s="454"/>
      <c r="J63" s="412">
        <f>SUM(J59:J62)</f>
        <v>158738.76854782077</v>
      </c>
      <c r="K63" s="412"/>
      <c r="L63" s="432"/>
      <c r="M63" s="455"/>
    </row>
    <row r="64" spans="1:13" x14ac:dyDescent="0.25">
      <c r="A64" s="510"/>
      <c r="B64" s="511"/>
      <c r="C64" s="511"/>
      <c r="D64" s="512"/>
      <c r="E64" s="513"/>
      <c r="F64" s="514"/>
      <c r="H64" s="308"/>
      <c r="I64" s="515"/>
      <c r="J64" s="423"/>
      <c r="K64" s="423"/>
      <c r="L64" s="424"/>
      <c r="M64" s="516"/>
    </row>
    <row r="65" spans="1:13" x14ac:dyDescent="0.25">
      <c r="A65" s="972" t="s">
        <v>515</v>
      </c>
      <c r="B65" s="973"/>
      <c r="C65" s="973"/>
      <c r="D65" s="973"/>
      <c r="E65" s="973"/>
      <c r="F65" s="973"/>
      <c r="G65" s="974"/>
      <c r="H65" s="312"/>
      <c r="I65" s="309"/>
      <c r="J65" s="309"/>
      <c r="K65" s="309"/>
      <c r="L65" s="309"/>
      <c r="M65" s="333"/>
    </row>
    <row r="66" spans="1:13" x14ac:dyDescent="0.25">
      <c r="A66" s="525" t="s">
        <v>516</v>
      </c>
      <c r="B66" s="526"/>
      <c r="C66" s="527">
        <v>10</v>
      </c>
      <c r="D66" s="528" t="s">
        <v>443</v>
      </c>
      <c r="E66" s="529" t="s">
        <v>517</v>
      </c>
      <c r="F66" s="530"/>
      <c r="G66" s="531" t="s">
        <v>444</v>
      </c>
      <c r="H66" s="312"/>
      <c r="I66" s="532"/>
      <c r="J66" s="533">
        <f>IF(ISNUMBER(B66),B66,C66)</f>
        <v>10</v>
      </c>
      <c r="K66" s="534" t="s">
        <v>518</v>
      </c>
      <c r="L66" s="535" t="b">
        <v>0</v>
      </c>
      <c r="M66" s="415"/>
    </row>
    <row r="67" spans="1:13" ht="45" x14ac:dyDescent="0.25">
      <c r="A67" s="536" t="s">
        <v>31</v>
      </c>
      <c r="B67" s="537">
        <v>7.0000000000000007E-2</v>
      </c>
      <c r="C67" s="538">
        <v>7.0000000000000007E-2</v>
      </c>
      <c r="D67" s="485" t="s">
        <v>443</v>
      </c>
      <c r="E67" s="539" t="s">
        <v>519</v>
      </c>
      <c r="F67" s="487"/>
      <c r="G67" s="349" t="s">
        <v>394</v>
      </c>
      <c r="H67" s="312"/>
      <c r="I67" s="532"/>
      <c r="J67" s="533">
        <f>IF(ISNUMBER(B67),B67,C67)</f>
        <v>7.0000000000000007E-2</v>
      </c>
      <c r="K67" s="534" t="s">
        <v>520</v>
      </c>
      <c r="L67" s="535" t="b">
        <v>0</v>
      </c>
      <c r="M67" s="415"/>
    </row>
    <row r="68" spans="1:13" ht="15" customHeight="1" x14ac:dyDescent="0.25">
      <c r="A68" s="540" t="s">
        <v>122</v>
      </c>
      <c r="B68" s="541">
        <f>J67/(1-(1+J67)^-J66)</f>
        <v>0.14237750272736471</v>
      </c>
      <c r="C68" s="542"/>
      <c r="D68" s="543" t="s">
        <v>443</v>
      </c>
      <c r="E68" s="544" t="s">
        <v>521</v>
      </c>
      <c r="F68" s="506"/>
      <c r="G68" s="464" t="s">
        <v>443</v>
      </c>
      <c r="I68" s="532"/>
      <c r="J68" s="545"/>
      <c r="K68" s="545"/>
      <c r="L68" s="546"/>
      <c r="M68" s="547"/>
    </row>
    <row r="69" spans="1:13" x14ac:dyDescent="0.25">
      <c r="A69" s="548" t="s">
        <v>28</v>
      </c>
      <c r="B69" s="549">
        <f>B68*B41</f>
        <v>389669.47330785979</v>
      </c>
      <c r="C69" s="550"/>
      <c r="D69" s="461" t="s">
        <v>443</v>
      </c>
      <c r="E69" s="551"/>
      <c r="F69" s="552"/>
      <c r="G69" s="376" t="s">
        <v>522</v>
      </c>
      <c r="H69" s="308"/>
      <c r="I69" s="454"/>
      <c r="J69" s="412">
        <f>IF(ISNUMBER(B69),B69,C69)</f>
        <v>389669.47330785979</v>
      </c>
      <c r="K69" s="412"/>
      <c r="L69" s="432"/>
      <c r="M69" s="465" t="s">
        <v>523</v>
      </c>
    </row>
    <row r="70" spans="1:13" s="309" customFormat="1" x14ac:dyDescent="0.25">
      <c r="B70" s="310"/>
      <c r="C70" s="310"/>
      <c r="D70" s="553"/>
      <c r="G70" s="311"/>
      <c r="H70" s="312"/>
      <c r="M70" s="333"/>
    </row>
    <row r="71" spans="1:13" s="453" customFormat="1" x14ac:dyDescent="0.25">
      <c r="A71" s="548" t="s">
        <v>108</v>
      </c>
      <c r="B71" s="549">
        <f>SUM(B55,B63, B69)</f>
        <v>1011201.5851870461</v>
      </c>
      <c r="C71" s="550"/>
      <c r="D71" s="554" t="s">
        <v>443</v>
      </c>
      <c r="E71" s="555" t="s">
        <v>524</v>
      </c>
      <c r="F71" s="556"/>
      <c r="G71" s="376" t="s">
        <v>525</v>
      </c>
      <c r="I71" s="454"/>
      <c r="J71" s="557">
        <f>SUM(J55,J63, J69)</f>
        <v>1011201.5851870461</v>
      </c>
      <c r="K71" s="557" t="s">
        <v>526</v>
      </c>
      <c r="L71" s="432"/>
      <c r="M71" s="465" t="s">
        <v>527</v>
      </c>
    </row>
    <row r="72" spans="1:13" s="453" customFormat="1" x14ac:dyDescent="0.25">
      <c r="A72" s="558"/>
      <c r="B72" s="559"/>
      <c r="C72" s="560"/>
      <c r="D72" s="561"/>
      <c r="E72" s="562"/>
      <c r="F72" s="563"/>
      <c r="G72" s="311"/>
      <c r="H72" s="564"/>
      <c r="I72" s="565"/>
      <c r="J72" s="562"/>
      <c r="K72" s="562"/>
      <c r="L72" s="565"/>
      <c r="M72" s="565"/>
    </row>
    <row r="73" spans="1:13" s="309" customFormat="1" ht="16.5" thickBot="1" x14ac:dyDescent="0.3">
      <c r="A73" s="313" t="s">
        <v>528</v>
      </c>
      <c r="B73" s="314"/>
      <c r="C73" s="314"/>
      <c r="D73" s="315"/>
      <c r="E73" s="315"/>
      <c r="F73" s="315"/>
      <c r="G73" s="566"/>
      <c r="H73" s="312"/>
    </row>
    <row r="74" spans="1:13" s="571" customFormat="1" ht="15.75" thickTop="1" x14ac:dyDescent="0.25">
      <c r="A74" s="510"/>
      <c r="B74" s="567"/>
      <c r="C74" s="568"/>
      <c r="D74" s="569"/>
      <c r="E74" s="569"/>
      <c r="F74" s="569"/>
      <c r="G74" s="570" t="s">
        <v>435</v>
      </c>
      <c r="H74" s="312"/>
      <c r="I74" s="309"/>
      <c r="J74" s="309"/>
      <c r="K74" s="309"/>
      <c r="L74" s="309"/>
      <c r="M74" s="309"/>
    </row>
    <row r="75" spans="1:13" s="453" customFormat="1" x14ac:dyDescent="0.25">
      <c r="A75" s="572" t="s">
        <v>529</v>
      </c>
      <c r="B75" s="573">
        <f>$J$93*$J$98*$J$119/2000+IF(J94&gt;0,$J$94*$J$103*$J$119/2000)</f>
        <v>103.49812957591723</v>
      </c>
      <c r="C75" s="573"/>
      <c r="D75" s="564"/>
      <c r="F75" s="309"/>
      <c r="G75" s="574" t="s">
        <v>530</v>
      </c>
      <c r="H75" s="312"/>
      <c r="I75" s="454"/>
      <c r="J75" s="557"/>
      <c r="K75" s="557"/>
      <c r="L75" s="432"/>
      <c r="M75" s="465"/>
    </row>
    <row r="76" spans="1:13" s="453" customFormat="1" x14ac:dyDescent="0.25">
      <c r="A76" s="575" t="s">
        <v>531</v>
      </c>
      <c r="B76" s="573">
        <f>SUM($J$93:$J$94)*J108*$J$119/2000</f>
        <v>13.799750610122297</v>
      </c>
      <c r="C76" s="576"/>
      <c r="D76" s="564"/>
      <c r="F76" s="577"/>
      <c r="G76" s="574" t="s">
        <v>530</v>
      </c>
      <c r="H76" s="564"/>
      <c r="I76" s="454"/>
      <c r="J76" s="557"/>
      <c r="K76" s="557"/>
      <c r="L76" s="432"/>
      <c r="M76" s="465"/>
    </row>
    <row r="77" spans="1:13" s="453" customFormat="1" x14ac:dyDescent="0.25">
      <c r="A77" s="578" t="s">
        <v>532</v>
      </c>
      <c r="B77" s="579">
        <f>B75-B76</f>
        <v>89.69837896579493</v>
      </c>
      <c r="C77" s="579"/>
      <c r="D77" s="564"/>
      <c r="F77" s="309"/>
      <c r="G77" s="574" t="s">
        <v>530</v>
      </c>
      <c r="H77" s="312"/>
      <c r="I77" s="454"/>
      <c r="J77" s="557"/>
      <c r="K77" s="557"/>
      <c r="L77" s="432"/>
      <c r="M77" s="465"/>
    </row>
    <row r="78" spans="1:13" s="453" customFormat="1" x14ac:dyDescent="0.25">
      <c r="A78" s="581"/>
      <c r="B78" s="582"/>
      <c r="C78" s="580"/>
      <c r="D78" s="564"/>
      <c r="F78" s="309"/>
      <c r="G78" s="311"/>
      <c r="H78" s="312"/>
      <c r="I78" s="565"/>
      <c r="J78" s="309"/>
      <c r="K78" s="309"/>
      <c r="L78" s="565"/>
      <c r="M78" s="565"/>
    </row>
    <row r="79" spans="1:13" s="453" customFormat="1" x14ac:dyDescent="0.25">
      <c r="A79" s="583" t="s">
        <v>108</v>
      </c>
      <c r="B79" s="584">
        <f>B71</f>
        <v>1011201.5851870461</v>
      </c>
      <c r="C79" s="700"/>
      <c r="D79" s="564"/>
      <c r="F79" s="309"/>
      <c r="G79" s="574" t="s">
        <v>533</v>
      </c>
      <c r="H79" s="312"/>
      <c r="I79" s="454"/>
      <c r="J79" s="557"/>
      <c r="K79" s="557"/>
      <c r="L79" s="432"/>
      <c r="M79" s="465"/>
    </row>
    <row r="80" spans="1:13" s="453" customFormat="1" x14ac:dyDescent="0.25">
      <c r="A80" s="585" t="s">
        <v>534</v>
      </c>
      <c r="B80" s="586">
        <f>IF(B77=0,"",B79/B77)</f>
        <v>11273.354065547293</v>
      </c>
      <c r="C80" s="586"/>
      <c r="D80" s="309"/>
      <c r="G80" s="574" t="s">
        <v>535</v>
      </c>
      <c r="H80" s="587"/>
      <c r="I80" s="454"/>
      <c r="J80" s="557"/>
      <c r="K80" s="557"/>
      <c r="L80" s="432"/>
      <c r="M80" s="465"/>
    </row>
    <row r="81" spans="1:13" s="453" customFormat="1" hidden="1" x14ac:dyDescent="0.25">
      <c r="A81" s="588" t="s">
        <v>536</v>
      </c>
      <c r="B81" s="589"/>
      <c r="C81" s="590"/>
      <c r="D81" s="563"/>
      <c r="F81" s="563"/>
      <c r="G81" s="311"/>
      <c r="H81" s="564"/>
      <c r="I81" s="454"/>
      <c r="J81" s="557"/>
      <c r="K81" s="557"/>
      <c r="L81" s="414" t="str">
        <f>IF(B81="","Req'd")</f>
        <v>Req'd</v>
      </c>
      <c r="M81" s="465"/>
    </row>
    <row r="82" spans="1:13" s="453" customFormat="1" hidden="1" x14ac:dyDescent="0.25">
      <c r="A82" s="591"/>
      <c r="B82" s="592"/>
      <c r="C82" s="590"/>
      <c r="D82" s="563"/>
      <c r="F82" s="563"/>
      <c r="G82" s="311"/>
      <c r="H82" s="564"/>
      <c r="I82" s="565"/>
      <c r="J82" s="562"/>
      <c r="K82" s="562"/>
      <c r="L82" s="565"/>
      <c r="M82" s="565"/>
    </row>
    <row r="83" spans="1:13" s="453" customFormat="1" hidden="1" x14ac:dyDescent="0.25">
      <c r="A83" s="593" t="s">
        <v>537</v>
      </c>
      <c r="B83" s="594"/>
      <c r="C83" s="595"/>
      <c r="D83" s="596"/>
      <c r="E83" s="597"/>
      <c r="F83" s="598"/>
      <c r="G83" s="311"/>
      <c r="H83" s="564"/>
      <c r="I83" s="565"/>
      <c r="J83" s="562"/>
      <c r="K83" s="562"/>
      <c r="L83" s="565"/>
      <c r="M83" s="565"/>
    </row>
    <row r="84" spans="1:13" s="453" customFormat="1" ht="15.75" hidden="1" thickBot="1" x14ac:dyDescent="0.3">
      <c r="A84" s="599" t="str">
        <f>IF(B80="","TBD",IF(B80&gt;B81,"Project costs exceed BACT cost effectiveness threshold and may not be considered cost effective.","Project may be considered cost effective."))</f>
        <v>Project costs exceed BACT cost effectiveness threshold and may not be considered cost effective.</v>
      </c>
      <c r="B84" s="600"/>
      <c r="C84" s="601"/>
      <c r="D84" s="602"/>
      <c r="E84" s="602"/>
      <c r="F84" s="603"/>
      <c r="G84" s="311"/>
      <c r="H84" s="564"/>
      <c r="I84" s="565"/>
      <c r="J84" s="562"/>
      <c r="K84" s="562"/>
      <c r="L84" s="565"/>
      <c r="M84" s="565"/>
    </row>
    <row r="85" spans="1:13" s="453" customFormat="1" x14ac:dyDescent="0.25">
      <c r="A85" s="558"/>
      <c r="B85" s="590"/>
      <c r="C85" s="559"/>
      <c r="D85" s="562"/>
      <c r="E85" s="562"/>
      <c r="F85" s="563"/>
      <c r="G85" s="311"/>
      <c r="H85" s="564"/>
      <c r="I85" s="565"/>
      <c r="J85" s="562"/>
      <c r="K85" s="562"/>
      <c r="L85" s="565"/>
      <c r="M85" s="565"/>
    </row>
    <row r="86" spans="1:13" s="309" customFormat="1" ht="16.5" thickBot="1" x14ac:dyDescent="0.3">
      <c r="A86" s="313" t="s">
        <v>538</v>
      </c>
      <c r="B86" s="314"/>
      <c r="C86" s="314"/>
      <c r="D86" s="315"/>
      <c r="E86" s="315"/>
      <c r="F86" s="315"/>
      <c r="G86" s="604"/>
      <c r="H86" s="312"/>
    </row>
    <row r="87" spans="1:13" ht="15.75" thickTop="1" x14ac:dyDescent="0.25">
      <c r="H87" s="312"/>
      <c r="J87" s="308"/>
      <c r="K87" s="308"/>
      <c r="M87" s="309"/>
    </row>
    <row r="88" spans="1:13" x14ac:dyDescent="0.25">
      <c r="A88" s="308" t="s">
        <v>539</v>
      </c>
      <c r="H88" s="312"/>
      <c r="I88" s="309"/>
      <c r="J88" s="309"/>
      <c r="K88" s="309"/>
      <c r="L88" s="309"/>
      <c r="M88" s="309"/>
    </row>
    <row r="89" spans="1:13" x14ac:dyDescent="0.25">
      <c r="A89" s="308" t="s">
        <v>540</v>
      </c>
      <c r="H89" s="312"/>
      <c r="I89" s="309"/>
      <c r="J89" s="309"/>
      <c r="K89" s="309"/>
      <c r="L89" s="309"/>
      <c r="M89" s="309"/>
    </row>
    <row r="90" spans="1:13" ht="8.25" customHeight="1" x14ac:dyDescent="0.25">
      <c r="H90" s="312"/>
      <c r="I90" s="309"/>
      <c r="J90" s="309"/>
      <c r="K90" s="309"/>
      <c r="L90" s="309"/>
      <c r="M90" s="309"/>
    </row>
    <row r="91" spans="1:13" x14ac:dyDescent="0.25">
      <c r="A91" s="605" t="s">
        <v>541</v>
      </c>
      <c r="B91" s="606"/>
      <c r="C91" s="606"/>
      <c r="D91" s="607"/>
      <c r="E91" s="607"/>
      <c r="F91" s="607"/>
      <c r="G91" s="608"/>
      <c r="H91" s="312"/>
      <c r="I91" s="330" t="s">
        <v>436</v>
      </c>
      <c r="J91" s="331" t="s">
        <v>437</v>
      </c>
      <c r="K91" s="609" t="s">
        <v>438</v>
      </c>
      <c r="L91" s="331" t="s">
        <v>439</v>
      </c>
      <c r="M91" s="332" t="s">
        <v>395</v>
      </c>
    </row>
    <row r="92" spans="1:13" x14ac:dyDescent="0.25">
      <c r="A92" s="610"/>
      <c r="B92" s="611"/>
      <c r="C92" s="611"/>
      <c r="D92" s="612"/>
      <c r="E92" s="612"/>
      <c r="F92" s="612"/>
      <c r="G92" s="570" t="s">
        <v>435</v>
      </c>
      <c r="H92" s="312"/>
      <c r="I92" s="330"/>
      <c r="J92" s="331"/>
      <c r="K92" s="609"/>
      <c r="L92" s="331"/>
      <c r="M92" s="613"/>
    </row>
    <row r="93" spans="1:13" x14ac:dyDescent="0.25">
      <c r="A93" s="308" t="s">
        <v>542</v>
      </c>
      <c r="B93" s="614">
        <f>'PowerGen Comp'!C10</f>
        <v>430</v>
      </c>
      <c r="C93" s="615" t="s">
        <v>53</v>
      </c>
      <c r="D93" s="616"/>
      <c r="G93" s="617"/>
      <c r="H93" s="312"/>
      <c r="I93" s="618"/>
      <c r="J93" s="545">
        <f>B93</f>
        <v>430</v>
      </c>
      <c r="K93" s="619" t="s">
        <v>53</v>
      </c>
      <c r="L93" s="620" t="b">
        <f>IF(B93="","Req'd")</f>
        <v>0</v>
      </c>
      <c r="M93" s="621"/>
    </row>
    <row r="94" spans="1:13" x14ac:dyDescent="0.25">
      <c r="A94" s="308" t="s">
        <v>543</v>
      </c>
      <c r="B94" s="622"/>
      <c r="C94" s="615" t="s">
        <v>53</v>
      </c>
      <c r="D94" s="616"/>
      <c r="G94" s="574"/>
      <c r="H94" s="312"/>
      <c r="I94" s="618"/>
      <c r="J94" s="545">
        <f>B94</f>
        <v>0</v>
      </c>
      <c r="K94" s="619" t="s">
        <v>53</v>
      </c>
      <c r="L94" s="620" t="b">
        <v>0</v>
      </c>
      <c r="M94" s="621"/>
    </row>
    <row r="95" spans="1:13" s="571" customFormat="1" ht="8.25" customHeight="1" x14ac:dyDescent="0.25">
      <c r="B95" s="611"/>
      <c r="C95" s="611"/>
      <c r="D95" s="612"/>
      <c r="E95" s="612"/>
      <c r="F95" s="612"/>
      <c r="G95" s="311"/>
      <c r="H95" s="421"/>
      <c r="I95" s="623"/>
      <c r="J95" s="623"/>
      <c r="K95" s="623"/>
      <c r="L95" s="624"/>
      <c r="M95" s="625"/>
    </row>
    <row r="96" spans="1:13" x14ac:dyDescent="0.25">
      <c r="A96" s="605" t="s">
        <v>544</v>
      </c>
      <c r="B96" s="606"/>
      <c r="C96" s="606"/>
      <c r="D96" s="607"/>
      <c r="E96" s="607"/>
      <c r="F96" s="607"/>
      <c r="G96" s="608"/>
      <c r="H96" s="312"/>
      <c r="I96" s="309"/>
      <c r="J96" s="309"/>
      <c r="K96" s="309"/>
      <c r="L96" s="626"/>
      <c r="M96" s="333"/>
    </row>
    <row r="97" spans="1:13" x14ac:dyDescent="0.25">
      <c r="A97" s="610"/>
      <c r="B97" s="611"/>
      <c r="C97" s="611"/>
      <c r="D97" s="612"/>
      <c r="E97" s="612"/>
      <c r="F97" s="612"/>
      <c r="G97" s="570" t="s">
        <v>435</v>
      </c>
      <c r="H97" s="312"/>
      <c r="I97" s="309"/>
      <c r="J97" s="309"/>
      <c r="K97" s="309"/>
      <c r="L97" s="626"/>
      <c r="M97" s="333"/>
    </row>
    <row r="98" spans="1:13" x14ac:dyDescent="0.25">
      <c r="A98" s="308" t="s">
        <v>545</v>
      </c>
      <c r="B98" s="622"/>
      <c r="C98" s="615" t="s">
        <v>546</v>
      </c>
      <c r="D98" s="616"/>
      <c r="G98" s="574"/>
      <c r="H98" s="312"/>
      <c r="I98" s="627">
        <f>B98</f>
        <v>0</v>
      </c>
      <c r="J98" s="628">
        <f>IF(ISNUMBER(B98),I98,IF(ISNUMBER(B99),I99,IF(ISNUMBER(B100),I100,I101)))</f>
        <v>5.4952813834510582E-2</v>
      </c>
      <c r="K98" s="619" t="s">
        <v>113</v>
      </c>
      <c r="L98" s="620" t="str">
        <f>IF(OR(B99&lt;&gt;"",B100&lt;&gt;""),"N/A")</f>
        <v>N/A</v>
      </c>
      <c r="M98" s="621"/>
    </row>
    <row r="99" spans="1:13" x14ac:dyDescent="0.25">
      <c r="A99" s="629" t="s">
        <v>547</v>
      </c>
      <c r="B99" s="622"/>
      <c r="C99" s="615" t="s">
        <v>548</v>
      </c>
      <c r="D99" s="616"/>
      <c r="G99" s="574"/>
      <c r="H99" s="312"/>
      <c r="I99" s="627">
        <f>B99/$J$114</f>
        <v>0</v>
      </c>
      <c r="J99" s="630"/>
      <c r="K99" s="631"/>
      <c r="L99" s="620" t="str">
        <f>IF(OR(B98&lt;&gt;"",B100&lt;&gt;""),"N/A")</f>
        <v>N/A</v>
      </c>
      <c r="M99" s="621"/>
    </row>
    <row r="100" spans="1:13" x14ac:dyDescent="0.25">
      <c r="A100" s="629" t="s">
        <v>547</v>
      </c>
      <c r="B100" s="622">
        <v>15</v>
      </c>
      <c r="C100" s="615" t="s">
        <v>549</v>
      </c>
      <c r="D100" s="616"/>
      <c r="G100" s="574" t="s">
        <v>550</v>
      </c>
      <c r="H100" s="312"/>
      <c r="I100" s="627">
        <f>B100*1.194*10^-7*J$115*(20.946/(20.946-15))</f>
        <v>5.4952813834510582E-2</v>
      </c>
      <c r="J100" s="630"/>
      <c r="K100" s="631"/>
      <c r="L100" s="620" t="b">
        <f>IF(OR(B98&lt;&gt;"",B99&lt;&gt;""),"N/A")</f>
        <v>0</v>
      </c>
      <c r="M100" s="621"/>
    </row>
    <row r="101" spans="1:13" x14ac:dyDescent="0.25">
      <c r="A101" s="629" t="s">
        <v>551</v>
      </c>
      <c r="B101" s="632"/>
      <c r="C101" s="615" t="s">
        <v>549</v>
      </c>
      <c r="D101" s="616"/>
      <c r="G101" s="574"/>
      <c r="H101" s="312"/>
      <c r="I101" s="627">
        <f>B101*1.194*10^-7*J$115*(20.946/(20.946-15))</f>
        <v>0</v>
      </c>
      <c r="J101" s="630"/>
      <c r="K101" s="631"/>
      <c r="L101" s="620" t="str">
        <f>IF(COUNTA(B98:B100)&gt;0,"N/A")</f>
        <v>N/A</v>
      </c>
      <c r="M101" s="621"/>
    </row>
    <row r="102" spans="1:13" x14ac:dyDescent="0.25">
      <c r="H102" s="312"/>
      <c r="I102" s="309"/>
      <c r="J102" s="309"/>
      <c r="K102" s="309"/>
      <c r="L102" s="626"/>
      <c r="M102" s="333"/>
    </row>
    <row r="103" spans="1:13" x14ac:dyDescent="0.25">
      <c r="A103" s="308" t="s">
        <v>552</v>
      </c>
      <c r="B103" s="622"/>
      <c r="C103" s="615" t="s">
        <v>546</v>
      </c>
      <c r="D103" s="616"/>
      <c r="G103" s="574"/>
      <c r="H103" s="312"/>
      <c r="I103" s="627">
        <f>B103</f>
        <v>0</v>
      </c>
      <c r="J103" s="628">
        <f>IF(ISNUMBER(B103),I103,IF(ISNUMBER(B104),I104,IF(ISNUMBER(B105),I105,I106)))</f>
        <v>0</v>
      </c>
      <c r="K103" s="619" t="s">
        <v>113</v>
      </c>
      <c r="L103" s="620" t="str">
        <f>IF($J$94=0,"N/A",IF(OR(B104&lt;&gt;"",B105&lt;&gt;""),"N/A"))</f>
        <v>N/A</v>
      </c>
      <c r="M103" s="621"/>
    </row>
    <row r="104" spans="1:13" x14ac:dyDescent="0.25">
      <c r="A104" s="629" t="s">
        <v>547</v>
      </c>
      <c r="B104" s="622"/>
      <c r="C104" s="615" t="s">
        <v>548</v>
      </c>
      <c r="D104" s="616"/>
      <c r="G104" s="574"/>
      <c r="H104" s="312"/>
      <c r="I104" s="627">
        <f>B104/$J$114</f>
        <v>0</v>
      </c>
      <c r="J104" s="630"/>
      <c r="K104" s="631"/>
      <c r="L104" s="620" t="str">
        <f>IF($J$94=0,"N/A",IF(OR(B103&lt;&gt;"",B105&lt;&gt;""),"N/A"))</f>
        <v>N/A</v>
      </c>
      <c r="M104" s="621"/>
    </row>
    <row r="105" spans="1:13" x14ac:dyDescent="0.25">
      <c r="A105" s="629" t="s">
        <v>547</v>
      </c>
      <c r="B105" s="622"/>
      <c r="C105" s="615" t="s">
        <v>553</v>
      </c>
      <c r="D105" s="616"/>
      <c r="G105" s="574"/>
      <c r="H105" s="312"/>
      <c r="I105" s="627">
        <f>B105*1.194*10^-7*J$115*(20.946/(20.946-3))</f>
        <v>0</v>
      </c>
      <c r="J105" s="630"/>
      <c r="K105" s="631"/>
      <c r="L105" s="620" t="str">
        <f>IF($J$94=0,"N/A",IF(OR(B103&lt;&gt;"",B104&lt;&gt;""),"N/A"))</f>
        <v>N/A</v>
      </c>
      <c r="M105" s="621"/>
    </row>
    <row r="106" spans="1:13" x14ac:dyDescent="0.25">
      <c r="A106" s="629" t="s">
        <v>551</v>
      </c>
      <c r="B106" s="632"/>
      <c r="C106" s="615" t="s">
        <v>553</v>
      </c>
      <c r="D106" s="616"/>
      <c r="G106" s="574"/>
      <c r="H106" s="312"/>
      <c r="I106" s="627">
        <f>B106*1.194*10^-7*J$115*(20.946/(20.946-3))</f>
        <v>0</v>
      </c>
      <c r="J106" s="630"/>
      <c r="K106" s="631"/>
      <c r="L106" s="620" t="str">
        <f>IF($J$94=0,"N/A",IF(COUNTA(B103:B105)&gt;0,"N/A"))</f>
        <v>N/A</v>
      </c>
      <c r="M106" s="621"/>
    </row>
    <row r="107" spans="1:13" x14ac:dyDescent="0.25">
      <c r="H107" s="312"/>
      <c r="I107" s="309"/>
      <c r="J107" s="309"/>
      <c r="K107" s="309"/>
      <c r="L107" s="626"/>
      <c r="M107" s="333"/>
    </row>
    <row r="108" spans="1:13" x14ac:dyDescent="0.25">
      <c r="A108" s="308" t="s">
        <v>554</v>
      </c>
      <c r="B108" s="622"/>
      <c r="C108" s="615" t="s">
        <v>546</v>
      </c>
      <c r="D108" s="616"/>
      <c r="G108" s="574"/>
      <c r="H108" s="312"/>
      <c r="I108" s="627">
        <f>B108</f>
        <v>0</v>
      </c>
      <c r="J108" s="628">
        <f>IF(ISNUMBER(B108),I108,IF(ISNUMBER(B109),I109,I110))</f>
        <v>7.3270418446014108E-3</v>
      </c>
      <c r="K108" s="619" t="s">
        <v>113</v>
      </c>
      <c r="L108" s="620" t="str">
        <f>IF(COUNTA(B108:B110)=0,"Req'd",IF(OR(B109&lt;&gt;"",B110&lt;&gt;""),"N/A"))</f>
        <v>N/A</v>
      </c>
      <c r="M108" s="621"/>
    </row>
    <row r="109" spans="1:13" x14ac:dyDescent="0.25">
      <c r="A109" s="629" t="s">
        <v>547</v>
      </c>
      <c r="B109" s="622"/>
      <c r="C109" s="615" t="s">
        <v>548</v>
      </c>
      <c r="D109" s="616"/>
      <c r="G109" s="574"/>
      <c r="H109" s="312"/>
      <c r="I109" s="627">
        <f>B109/$J$114</f>
        <v>0</v>
      </c>
      <c r="J109" s="630"/>
      <c r="K109" s="631"/>
      <c r="L109" s="620" t="str">
        <f>IF(COUNTA(B108:B110)=0,"Req'd",IF(OR(B108&lt;&gt;"",B110&lt;&gt;""),"N/A"))</f>
        <v>N/A</v>
      </c>
      <c r="M109" s="621"/>
    </row>
    <row r="110" spans="1:13" x14ac:dyDescent="0.25">
      <c r="A110" s="629" t="s">
        <v>547</v>
      </c>
      <c r="B110" s="622">
        <v>2</v>
      </c>
      <c r="C110" s="615" t="s">
        <v>549</v>
      </c>
      <c r="D110" s="616"/>
      <c r="G110" s="617" t="s">
        <v>555</v>
      </c>
      <c r="H110" s="312"/>
      <c r="I110" s="627">
        <f>B110*1.194*10^-7*J$115*(20.946/(20.946-15))</f>
        <v>7.3270418446014108E-3</v>
      </c>
      <c r="J110" s="630"/>
      <c r="K110" s="631"/>
      <c r="L110" s="620" t="b">
        <f>IF(COUNTA(B108:B110)=0,"Req'd",IF(OR(B108&lt;&gt;"",B109&lt;&gt;""),"N/A"))</f>
        <v>0</v>
      </c>
      <c r="M110" s="621"/>
    </row>
    <row r="111" spans="1:13" ht="8.25" customHeight="1" x14ac:dyDescent="0.25">
      <c r="A111" s="571"/>
      <c r="B111" s="611"/>
      <c r="C111" s="611"/>
      <c r="D111" s="612"/>
      <c r="E111" s="612"/>
      <c r="F111" s="612"/>
      <c r="H111" s="312"/>
      <c r="I111" s="309"/>
      <c r="J111" s="309"/>
      <c r="K111" s="309"/>
      <c r="L111" s="626"/>
      <c r="M111" s="333"/>
    </row>
    <row r="112" spans="1:13" x14ac:dyDescent="0.25">
      <c r="A112" s="605" t="s">
        <v>556</v>
      </c>
      <c r="B112" s="606"/>
      <c r="C112" s="606"/>
      <c r="D112" s="607"/>
      <c r="E112" s="607"/>
      <c r="F112" s="607"/>
      <c r="G112" s="608"/>
      <c r="H112" s="312"/>
      <c r="I112" s="309"/>
      <c r="J112" s="309"/>
      <c r="K112" s="309"/>
      <c r="L112" s="626"/>
      <c r="M112" s="333"/>
    </row>
    <row r="113" spans="1:14" x14ac:dyDescent="0.25">
      <c r="A113" s="610"/>
      <c r="B113" s="611"/>
      <c r="C113" s="611"/>
      <c r="D113" s="612"/>
      <c r="E113" s="612"/>
      <c r="F113" s="612"/>
      <c r="G113" s="570" t="s">
        <v>435</v>
      </c>
      <c r="H113" s="312"/>
      <c r="I113" s="309"/>
      <c r="J113" s="309"/>
      <c r="K113" s="309"/>
      <c r="L113" s="626"/>
      <c r="M113" s="333"/>
    </row>
    <row r="114" spans="1:14" x14ac:dyDescent="0.25">
      <c r="A114" s="308" t="str">
        <f>"HHV  [Default: "&amp;I114&amp;" " &amp; C114&amp;"]"</f>
        <v>HHV  [Default: 1050 Btu/scf]</v>
      </c>
      <c r="B114" s="622">
        <f>'LNG Fuel'!C33</f>
        <v>1087</v>
      </c>
      <c r="C114" s="615" t="s">
        <v>181</v>
      </c>
      <c r="D114" s="616"/>
      <c r="G114" s="633"/>
      <c r="H114" s="312"/>
      <c r="I114" s="634">
        <v>1050</v>
      </c>
      <c r="J114" s="545">
        <f>IF(ISNUMBER(B114),B114,I114)</f>
        <v>1087</v>
      </c>
      <c r="K114" s="619" t="s">
        <v>181</v>
      </c>
      <c r="L114" s="620" t="b">
        <v>0</v>
      </c>
      <c r="M114" s="621"/>
    </row>
    <row r="115" spans="1:14" ht="30" x14ac:dyDescent="0.25">
      <c r="A115" s="308" t="str">
        <f>"F-factor (dry)  [Default: "&amp;I115&amp;" " &amp; C115&amp;"]"</f>
        <v>F-factor (dry)  [Default: 8710 dscf/MMBtu]</v>
      </c>
      <c r="B115" s="622"/>
      <c r="C115" s="615" t="s">
        <v>557</v>
      </c>
      <c r="D115" s="616"/>
      <c r="G115" s="574" t="s">
        <v>558</v>
      </c>
      <c r="H115" s="312"/>
      <c r="I115" s="634">
        <v>8710</v>
      </c>
      <c r="J115" s="545">
        <f>IF(ISNUMBER(B115),B115,I115)</f>
        <v>8710</v>
      </c>
      <c r="K115" s="619" t="s">
        <v>557</v>
      </c>
      <c r="L115" s="620" t="b">
        <v>0</v>
      </c>
      <c r="M115" s="621"/>
    </row>
    <row r="116" spans="1:14" ht="8.25" customHeight="1" x14ac:dyDescent="0.25">
      <c r="A116" s="571"/>
      <c r="B116" s="611"/>
      <c r="C116" s="611"/>
      <c r="D116" s="612"/>
      <c r="E116" s="612"/>
      <c r="F116" s="612"/>
      <c r="H116" s="312"/>
      <c r="I116" s="309"/>
      <c r="J116" s="309"/>
      <c r="K116" s="309"/>
      <c r="L116" s="626"/>
      <c r="M116" s="333"/>
    </row>
    <row r="117" spans="1:14" x14ac:dyDescent="0.25">
      <c r="A117" s="605" t="s">
        <v>559</v>
      </c>
      <c r="B117" s="606"/>
      <c r="C117" s="606"/>
      <c r="D117" s="607"/>
      <c r="E117" s="607"/>
      <c r="F117" s="607"/>
      <c r="G117" s="608"/>
      <c r="H117" s="312"/>
      <c r="I117" s="309"/>
      <c r="J117" s="309"/>
      <c r="K117" s="309"/>
      <c r="L117" s="626"/>
      <c r="M117" s="333"/>
    </row>
    <row r="118" spans="1:14" x14ac:dyDescent="0.25">
      <c r="A118" s="610"/>
      <c r="B118" s="611"/>
      <c r="C118" s="611"/>
      <c r="D118" s="612"/>
      <c r="E118" s="612"/>
      <c r="F118" s="612"/>
      <c r="G118" s="570" t="s">
        <v>435</v>
      </c>
      <c r="H118" s="312"/>
      <c r="I118" s="309"/>
      <c r="J118" s="309"/>
      <c r="K118" s="309"/>
      <c r="L118" s="626"/>
      <c r="M118" s="333"/>
    </row>
    <row r="119" spans="1:14" x14ac:dyDescent="0.25">
      <c r="A119" s="308" t="str">
        <f>"Max annual op hours [Default: "&amp;I119&amp;" " &amp; C119&amp;"]"</f>
        <v>Max annual op hours [Default: 8760 hr/yr]</v>
      </c>
      <c r="B119" s="622">
        <v>8760</v>
      </c>
      <c r="C119" s="615" t="s">
        <v>560</v>
      </c>
      <c r="D119" s="616"/>
      <c r="G119" s="617"/>
      <c r="H119" s="312"/>
      <c r="I119" s="634">
        <v>8760</v>
      </c>
      <c r="J119" s="545">
        <f>IF(ISNUMBER(B119),B119,I119)</f>
        <v>8760</v>
      </c>
      <c r="K119" s="619" t="s">
        <v>561</v>
      </c>
      <c r="L119" s="620" t="b">
        <v>0</v>
      </c>
      <c r="M119" s="621"/>
    </row>
    <row r="120" spans="1:14" ht="9" customHeight="1" x14ac:dyDescent="0.25">
      <c r="A120" s="571"/>
      <c r="B120" s="611"/>
      <c r="C120" s="611"/>
      <c r="D120" s="612"/>
      <c r="E120" s="612"/>
      <c r="F120" s="612"/>
      <c r="H120" s="312"/>
      <c r="I120" s="309"/>
      <c r="J120" s="309"/>
      <c r="K120" s="309"/>
      <c r="L120" s="626"/>
      <c r="M120" s="333"/>
    </row>
    <row r="121" spans="1:14" x14ac:dyDescent="0.25">
      <c r="A121" s="605" t="s">
        <v>562</v>
      </c>
      <c r="B121" s="606"/>
      <c r="C121" s="606"/>
      <c r="D121" s="607"/>
      <c r="E121" s="607"/>
      <c r="F121" s="607"/>
      <c r="G121" s="608"/>
      <c r="H121" s="312"/>
      <c r="I121" s="309"/>
      <c r="J121" s="309"/>
      <c r="K121" s="309"/>
      <c r="L121" s="635"/>
      <c r="M121" s="333"/>
    </row>
    <row r="122" spans="1:14" x14ac:dyDescent="0.25">
      <c r="A122" s="610"/>
      <c r="B122" s="611"/>
      <c r="C122" s="611"/>
      <c r="D122" s="612"/>
      <c r="E122" s="612"/>
      <c r="F122" s="612"/>
      <c r="G122" s="570" t="s">
        <v>435</v>
      </c>
      <c r="H122" s="312"/>
      <c r="I122" s="309"/>
      <c r="J122" s="309"/>
      <c r="K122" s="309"/>
      <c r="L122" s="635"/>
      <c r="M122" s="333"/>
    </row>
    <row r="123" spans="1:14" x14ac:dyDescent="0.25">
      <c r="A123" s="308" t="s">
        <v>563</v>
      </c>
      <c r="B123" s="622"/>
      <c r="C123" s="615" t="s">
        <v>301</v>
      </c>
      <c r="D123" s="616"/>
      <c r="G123" s="574" t="s">
        <v>530</v>
      </c>
      <c r="H123" s="312"/>
      <c r="I123" s="636">
        <f>0.105*B93*(J98*((J98-J108)/J98)+0.5*(J125+J127*J126))</f>
        <v>137.60030360534441</v>
      </c>
      <c r="J123" s="637">
        <f>IF(ISNUMBER(B123),B123,I123)</f>
        <v>137.60030360534441</v>
      </c>
      <c r="K123" s="619" t="str">
        <f>C123</f>
        <v>kW</v>
      </c>
      <c r="L123" s="638"/>
      <c r="M123" s="621" t="s">
        <v>564</v>
      </c>
    </row>
    <row r="124" spans="1:14" x14ac:dyDescent="0.25">
      <c r="A124" s="571" t="s">
        <v>565</v>
      </c>
      <c r="B124" s="622"/>
      <c r="C124" s="615"/>
      <c r="D124" s="616"/>
      <c r="H124" s="312"/>
      <c r="I124" s="639"/>
      <c r="J124" s="640"/>
      <c r="K124" s="641"/>
      <c r="L124" s="642"/>
      <c r="M124" s="643"/>
      <c r="N124" s="571"/>
    </row>
    <row r="125" spans="1:14" x14ac:dyDescent="0.25">
      <c r="A125" s="308" t="s">
        <v>566</v>
      </c>
      <c r="B125" s="622"/>
      <c r="C125" s="615"/>
      <c r="D125" s="616"/>
      <c r="G125" s="574" t="s">
        <v>567</v>
      </c>
      <c r="H125" s="312"/>
      <c r="I125" s="634">
        <v>3</v>
      </c>
      <c r="J125" s="644">
        <f>IF(ISNUMBER(B125),B125,I125)</f>
        <v>3</v>
      </c>
      <c r="K125" s="619" t="s">
        <v>568</v>
      </c>
      <c r="L125" s="638" t="b">
        <f>IF(B$123&lt;&gt;"","N/A")</f>
        <v>0</v>
      </c>
      <c r="M125" s="621"/>
    </row>
    <row r="126" spans="1:14" x14ac:dyDescent="0.25">
      <c r="A126" s="308" t="s">
        <v>569</v>
      </c>
      <c r="B126" s="622"/>
      <c r="C126" s="615"/>
      <c r="D126" s="616"/>
      <c r="G126" s="574" t="s">
        <v>567</v>
      </c>
      <c r="H126" s="312"/>
      <c r="I126" s="634">
        <v>1</v>
      </c>
      <c r="J126" s="644">
        <f>IF(ISNUMBER(B126),B126,I126)</f>
        <v>1</v>
      </c>
      <c r="K126" s="619" t="s">
        <v>568</v>
      </c>
      <c r="L126" s="638" t="b">
        <f t="shared" ref="L126" si="4">IF(B$123&lt;&gt;"","N/A")</f>
        <v>0</v>
      </c>
      <c r="M126" s="621"/>
    </row>
    <row r="127" spans="1:14" x14ac:dyDescent="0.25">
      <c r="A127" s="308" t="s">
        <v>570</v>
      </c>
      <c r="B127" s="686">
        <f>'PowerGen Comp'!G33</f>
        <v>3</v>
      </c>
      <c r="C127" s="615"/>
      <c r="D127" s="616"/>
      <c r="G127" s="574"/>
      <c r="H127" s="312"/>
      <c r="I127" s="411"/>
      <c r="J127" s="644">
        <f>IF(ISNUMBER(B127),B127,I127)</f>
        <v>3</v>
      </c>
      <c r="K127" s="619" t="s">
        <v>571</v>
      </c>
      <c r="L127" s="638" t="b">
        <f>IF(B$123&lt;&gt;"","N/A",IF(B127="","Req'd"))</f>
        <v>0</v>
      </c>
      <c r="M127" s="621"/>
    </row>
    <row r="128" spans="1:14" x14ac:dyDescent="0.25">
      <c r="A128" s="308" t="s">
        <v>572</v>
      </c>
      <c r="B128" s="645">
        <f>J123</f>
        <v>137.60030360534441</v>
      </c>
      <c r="C128" s="615" t="s">
        <v>301</v>
      </c>
      <c r="D128" s="646"/>
      <c r="G128" s="574" t="s">
        <v>567</v>
      </c>
      <c r="H128" s="312"/>
      <c r="I128" s="623"/>
      <c r="J128" s="647"/>
      <c r="K128" s="612"/>
      <c r="L128" s="638" t="b">
        <f>IF(B$123&lt;&gt;"","N/A")</f>
        <v>0</v>
      </c>
      <c r="M128" s="625"/>
    </row>
    <row r="129" spans="1:14" x14ac:dyDescent="0.25">
      <c r="A129" s="571"/>
      <c r="B129" s="648"/>
      <c r="C129" s="649"/>
      <c r="D129" s="650"/>
      <c r="E129" s="612"/>
      <c r="F129" s="612"/>
      <c r="H129" s="421"/>
      <c r="I129" s="639"/>
      <c r="J129" s="640"/>
      <c r="K129" s="641"/>
      <c r="L129" s="642"/>
      <c r="M129" s="643"/>
      <c r="N129" s="571"/>
    </row>
    <row r="130" spans="1:14" ht="45" x14ac:dyDescent="0.25">
      <c r="A130" s="308" t="str">
        <f>"Electricity Cost  [Default: "&amp;I130&amp;" " &amp; C130&amp;"]"</f>
        <v>Electricity Cost  [Default: 0.1572 $/kWh]</v>
      </c>
      <c r="B130" s="614">
        <f>'Utility Costs'!I40/100</f>
        <v>0.15608096020000001</v>
      </c>
      <c r="C130" s="615" t="s">
        <v>11</v>
      </c>
      <c r="D130" s="616"/>
      <c r="G130" s="871" t="s">
        <v>659</v>
      </c>
      <c r="H130" s="312"/>
      <c r="I130" s="634">
        <v>0.15720000000000001</v>
      </c>
      <c r="J130" s="651">
        <f>IF(ISNUMBER(B130),B130,I130)</f>
        <v>0.15608096020000001</v>
      </c>
      <c r="K130" s="619" t="s">
        <v>11</v>
      </c>
      <c r="L130" s="638" t="b">
        <v>0</v>
      </c>
      <c r="M130" s="621"/>
    </row>
    <row r="131" spans="1:14" ht="8.25" customHeight="1" x14ac:dyDescent="0.25">
      <c r="A131" s="571"/>
      <c r="B131" s="611"/>
      <c r="C131" s="611"/>
      <c r="D131" s="612"/>
      <c r="E131" s="612"/>
      <c r="F131" s="612"/>
      <c r="H131" s="312"/>
      <c r="I131" s="309"/>
      <c r="J131" s="309"/>
      <c r="K131" s="309"/>
      <c r="L131" s="626"/>
      <c r="M131" s="333"/>
    </row>
    <row r="132" spans="1:14" x14ac:dyDescent="0.25">
      <c r="A132" s="605" t="s">
        <v>573</v>
      </c>
      <c r="B132" s="606"/>
      <c r="C132" s="606"/>
      <c r="D132" s="607"/>
      <c r="E132" s="607"/>
      <c r="F132" s="607"/>
      <c r="G132" s="608"/>
      <c r="H132" s="312"/>
      <c r="I132" s="309"/>
      <c r="J132" s="309"/>
      <c r="K132" s="309"/>
      <c r="L132" s="626"/>
      <c r="M132" s="333"/>
    </row>
    <row r="133" spans="1:14" x14ac:dyDescent="0.25">
      <c r="A133" s="610"/>
      <c r="B133" s="611"/>
      <c r="C133" s="611"/>
      <c r="D133" s="612"/>
      <c r="E133" s="612"/>
      <c r="F133" s="612"/>
      <c r="G133" s="570" t="s">
        <v>435</v>
      </c>
      <c r="H133" s="312"/>
      <c r="I133" s="309"/>
      <c r="J133" s="309"/>
      <c r="K133" s="309"/>
      <c r="L133" s="626"/>
      <c r="M133" s="333"/>
    </row>
    <row r="134" spans="1:14" ht="39" x14ac:dyDescent="0.25">
      <c r="A134" s="308" t="s">
        <v>574</v>
      </c>
      <c r="B134" s="652">
        <f>'PowerGen Comp'!G17</f>
        <v>2.2400000000000002</v>
      </c>
      <c r="C134" s="615" t="s">
        <v>575</v>
      </c>
      <c r="D134" s="616"/>
      <c r="G134" s="715" t="s">
        <v>660</v>
      </c>
      <c r="H134" s="312"/>
      <c r="I134" s="634"/>
      <c r="J134" s="651">
        <f>B134</f>
        <v>2.2400000000000002</v>
      </c>
      <c r="K134" s="619" t="str">
        <f>C134</f>
        <v>$/gallon</v>
      </c>
      <c r="L134" s="620" t="b">
        <f>IF(B134="","Req'd")</f>
        <v>0</v>
      </c>
      <c r="M134" s="621"/>
    </row>
    <row r="135" spans="1:14" x14ac:dyDescent="0.25">
      <c r="A135" s="308" t="s">
        <v>576</v>
      </c>
      <c r="B135" s="622"/>
      <c r="C135" s="615" t="s">
        <v>577</v>
      </c>
      <c r="D135" s="616"/>
      <c r="G135" s="574"/>
      <c r="H135" s="312"/>
      <c r="I135" s="634"/>
      <c r="J135" s="545">
        <f>IF(ISNUMBER(B135),B135,B136*24*J138)</f>
        <v>1819.9228513706898</v>
      </c>
      <c r="K135" s="619" t="s">
        <v>577</v>
      </c>
      <c r="L135" s="620" t="b">
        <f>IF(AND(B135="",B136=""),"Req'd")</f>
        <v>0</v>
      </c>
      <c r="M135" s="621"/>
    </row>
    <row r="136" spans="1:14" x14ac:dyDescent="0.25">
      <c r="A136" s="629" t="s">
        <v>547</v>
      </c>
      <c r="B136" s="622">
        <v>14</v>
      </c>
      <c r="C136" s="615" t="s">
        <v>578</v>
      </c>
      <c r="D136" s="616"/>
      <c r="G136" s="574" t="s">
        <v>502</v>
      </c>
      <c r="H136" s="312"/>
      <c r="I136" s="634"/>
      <c r="J136" s="545">
        <f>IF(ISNUMBER(B136),B136,B137*24*J139)</f>
        <v>14</v>
      </c>
      <c r="K136" s="619" t="s">
        <v>577</v>
      </c>
      <c r="L136" s="620" t="b">
        <f>IF(AND(B135="",B136=""),"Req'd",IF(B135&lt;&gt;"","N/A"))</f>
        <v>0</v>
      </c>
      <c r="M136" s="621"/>
    </row>
    <row r="137" spans="1:14" x14ac:dyDescent="0.25">
      <c r="B137" s="653"/>
      <c r="H137" s="312"/>
      <c r="I137" s="309"/>
      <c r="J137" s="309"/>
      <c r="K137" s="309"/>
      <c r="L137" s="626"/>
      <c r="M137" s="333"/>
    </row>
    <row r="138" spans="1:14" x14ac:dyDescent="0.25">
      <c r="A138" s="308" t="s">
        <v>579</v>
      </c>
      <c r="B138" s="614"/>
      <c r="C138" s="615" t="s">
        <v>65</v>
      </c>
      <c r="D138" s="616"/>
      <c r="G138" s="574"/>
      <c r="H138" s="312"/>
      <c r="I138" s="634">
        <f>(J141/J142)</f>
        <v>5.4164370576508629</v>
      </c>
      <c r="J138" s="545">
        <f>IF(ISNUMBER(B138),B138,I138)</f>
        <v>5.4164370576508629</v>
      </c>
      <c r="K138" s="619" t="str">
        <f>C138</f>
        <v>gal/hr</v>
      </c>
      <c r="L138" s="620"/>
      <c r="M138" s="621"/>
    </row>
    <row r="139" spans="1:14" s="309" customFormat="1" x14ac:dyDescent="0.25">
      <c r="A139" s="571" t="s">
        <v>580</v>
      </c>
      <c r="B139" s="310"/>
      <c r="C139" s="310"/>
      <c r="G139" s="311"/>
      <c r="H139" s="312"/>
      <c r="L139" s="626"/>
      <c r="M139" s="333"/>
    </row>
    <row r="140" spans="1:14" x14ac:dyDescent="0.25">
      <c r="A140" s="629" t="str">
        <f>"Stored NH3 concentration  [Default: "&amp;TEXT(I140,"0.0%")&amp;"]"</f>
        <v>Stored NH3 concentration  [Default: 19.4%]</v>
      </c>
      <c r="B140" s="654"/>
      <c r="C140" s="615" t="s">
        <v>581</v>
      </c>
      <c r="D140" s="616"/>
      <c r="E140" s="308"/>
      <c r="F140" s="565"/>
      <c r="G140" s="574"/>
      <c r="H140" s="308"/>
      <c r="I140" s="655">
        <v>0.19400000000000001</v>
      </c>
      <c r="J140" s="656">
        <f>IF(ISNUMBER(B140),B140,I140)</f>
        <v>0.19400000000000001</v>
      </c>
      <c r="K140" s="657" t="s">
        <v>581</v>
      </c>
      <c r="L140" s="620" t="b">
        <f>IF(B$138&lt;&gt;"","N/A")</f>
        <v>0</v>
      </c>
      <c r="M140" s="621" t="s">
        <v>582</v>
      </c>
    </row>
    <row r="141" spans="1:14" ht="18" x14ac:dyDescent="0.35">
      <c r="A141" s="629" t="s">
        <v>583</v>
      </c>
      <c r="B141" s="614">
        <f>'PowerGen Comp'!C16</f>
        <v>42.150713182639016</v>
      </c>
      <c r="C141" s="615" t="s">
        <v>12</v>
      </c>
      <c r="D141" s="616"/>
      <c r="E141" s="308"/>
      <c r="F141" s="308"/>
      <c r="G141" s="871" t="s">
        <v>657</v>
      </c>
      <c r="H141" s="308"/>
      <c r="I141" s="636">
        <f>(J93*(J98-J108)+J94*(J103-J108))*(1.05*17.03)/(1*46.01)/J140</f>
        <v>41.026122065592112</v>
      </c>
      <c r="J141" s="644">
        <f>IF(ISNUMBER(B141),B141,I141)</f>
        <v>42.150713182639016</v>
      </c>
      <c r="K141" s="659" t="s">
        <v>12</v>
      </c>
      <c r="L141" s="620" t="b">
        <f>IF(B$138&lt;&gt;"","N/A")</f>
        <v>0</v>
      </c>
      <c r="M141" s="621" t="s">
        <v>584</v>
      </c>
    </row>
    <row r="142" spans="1:14" x14ac:dyDescent="0.25">
      <c r="A142" s="629" t="str">
        <f>"NH3 solution density  [Default: "&amp;TEXT(I142,"0.000")&amp;" "&amp;K142&amp;"]"</f>
        <v>NH3 solution density  [Default: 7.782 lb/gal]</v>
      </c>
      <c r="B142" s="658">
        <f>'PowerGen Comp'!G14</f>
        <v>7.782</v>
      </c>
      <c r="C142" s="615" t="s">
        <v>385</v>
      </c>
      <c r="D142" s="616"/>
      <c r="E142" s="308"/>
      <c r="F142" s="308"/>
      <c r="G142" s="574" t="s">
        <v>585</v>
      </c>
      <c r="H142" s="308"/>
      <c r="I142" s="636">
        <f>-3.3395*J140 + 8.4297</f>
        <v>7.7818370000000003</v>
      </c>
      <c r="J142" s="644">
        <f>IF(ISNUMBER(B142),B142,I142)</f>
        <v>7.782</v>
      </c>
      <c r="K142" s="659" t="s">
        <v>385</v>
      </c>
      <c r="L142" s="620" t="b">
        <f>IF(B$138&lt;&gt;"","N/A")</f>
        <v>0</v>
      </c>
      <c r="M142" s="621"/>
    </row>
    <row r="143" spans="1:14" x14ac:dyDescent="0.25">
      <c r="A143" s="308" t="s">
        <v>586</v>
      </c>
      <c r="B143" s="645">
        <f>J138</f>
        <v>5.4164370576508629</v>
      </c>
      <c r="C143" s="615" t="s">
        <v>65</v>
      </c>
      <c r="D143" s="616"/>
      <c r="E143" s="308"/>
      <c r="F143" s="308"/>
      <c r="G143" s="574" t="s">
        <v>587</v>
      </c>
      <c r="H143" s="308"/>
      <c r="I143" s="660"/>
      <c r="J143" s="660"/>
      <c r="K143" s="661"/>
      <c r="L143" s="638" t="b">
        <f>IF(B$138&lt;&gt;"","N/A")</f>
        <v>0</v>
      </c>
      <c r="M143" s="625"/>
    </row>
    <row r="144" spans="1:14" ht="8.25" customHeight="1" x14ac:dyDescent="0.25">
      <c r="A144" s="571"/>
      <c r="B144" s="611"/>
      <c r="C144" s="611"/>
      <c r="D144" s="612"/>
      <c r="E144" s="612"/>
      <c r="F144" s="612"/>
      <c r="H144" s="312"/>
      <c r="I144" s="309"/>
      <c r="J144" s="309"/>
      <c r="K144" s="309"/>
      <c r="L144" s="309"/>
      <c r="M144" s="333"/>
    </row>
    <row r="145" spans="1:13" x14ac:dyDescent="0.25">
      <c r="A145" s="605" t="s">
        <v>588</v>
      </c>
      <c r="B145" s="606"/>
      <c r="C145" s="606"/>
      <c r="D145" s="607"/>
      <c r="E145" s="607"/>
      <c r="F145" s="607"/>
      <c r="G145" s="608"/>
      <c r="H145" s="312"/>
      <c r="I145" s="309"/>
      <c r="J145" s="309"/>
      <c r="K145" s="309"/>
      <c r="L145" s="309"/>
      <c r="M145" s="333"/>
    </row>
    <row r="146" spans="1:13" x14ac:dyDescent="0.25">
      <c r="A146" s="610"/>
      <c r="B146" s="611"/>
      <c r="C146" s="611"/>
      <c r="D146" s="612"/>
      <c r="E146" s="612"/>
      <c r="F146" s="612"/>
      <c r="G146" s="570" t="s">
        <v>435</v>
      </c>
      <c r="H146" s="312"/>
      <c r="I146" s="309"/>
      <c r="J146" s="309"/>
      <c r="K146" s="309"/>
      <c r="L146" s="309"/>
      <c r="M146" s="333"/>
    </row>
    <row r="147" spans="1:13" x14ac:dyDescent="0.25">
      <c r="A147" s="308" t="s">
        <v>589</v>
      </c>
      <c r="B147" s="662">
        <f>'PowerGen Comp'!G40*'PowerGen Comp'!G25</f>
        <v>252126.86842491914</v>
      </c>
      <c r="G147" s="684" t="s">
        <v>612</v>
      </c>
      <c r="H147" s="312"/>
      <c r="I147" s="618"/>
      <c r="J147" s="663">
        <f>B147</f>
        <v>252126.86842491914</v>
      </c>
      <c r="K147" s="619" t="s">
        <v>445</v>
      </c>
      <c r="L147" s="620" t="b">
        <f>IF(B147="","Req'd")</f>
        <v>0</v>
      </c>
      <c r="M147" s="621"/>
    </row>
    <row r="148" spans="1:13" x14ac:dyDescent="0.25">
      <c r="A148" s="308" t="s">
        <v>590</v>
      </c>
      <c r="B148" s="622">
        <v>3</v>
      </c>
      <c r="C148" s="615" t="s">
        <v>518</v>
      </c>
      <c r="D148" s="646"/>
      <c r="G148" s="617"/>
      <c r="H148" s="312"/>
      <c r="I148" s="618"/>
      <c r="J148" s="545">
        <f>IF(ISNUMBER(B148),B148,I148)</f>
        <v>3</v>
      </c>
      <c r="K148" s="619" t="s">
        <v>518</v>
      </c>
      <c r="L148" s="620" t="b">
        <f>IF(B148="","Req'd")</f>
        <v>0</v>
      </c>
      <c r="M148" s="621"/>
    </row>
    <row r="149" spans="1:13" x14ac:dyDescent="0.25">
      <c r="A149" s="664" t="s">
        <v>31</v>
      </c>
      <c r="B149" s="665">
        <v>7.0000000000000007E-2</v>
      </c>
      <c r="C149" s="615" t="s">
        <v>520</v>
      </c>
      <c r="D149" s="616"/>
      <c r="G149" s="574" t="s">
        <v>591</v>
      </c>
      <c r="H149" s="312"/>
      <c r="I149" s="618"/>
      <c r="J149" s="666">
        <f>IF(ISNUMBER(B149),B149,I149)</f>
        <v>7.0000000000000007E-2</v>
      </c>
      <c r="K149" s="619" t="s">
        <v>520</v>
      </c>
      <c r="L149" s="620" t="b">
        <f>IF(B149="","Req'd")</f>
        <v>0</v>
      </c>
      <c r="M149" s="621"/>
    </row>
    <row r="150" spans="1:13" x14ac:dyDescent="0.25">
      <c r="A150" s="667" t="s">
        <v>592</v>
      </c>
      <c r="B150" s="668">
        <f>J150</f>
        <v>78424.482386674252</v>
      </c>
      <c r="G150" s="574" t="s">
        <v>593</v>
      </c>
      <c r="H150" s="312"/>
      <c r="I150" s="669">
        <f>IF(NOT(AND(ISNUMBER(B147),ISNUMBER(B148))),0,J147*J149/((1+J149)^J148-1))</f>
        <v>78424.482386674252</v>
      </c>
      <c r="J150" s="663">
        <f>I150</f>
        <v>78424.482386674252</v>
      </c>
      <c r="K150" s="619" t="s">
        <v>445</v>
      </c>
      <c r="L150" s="670" t="b">
        <v>0</v>
      </c>
      <c r="M150" s="621" t="s">
        <v>594</v>
      </c>
    </row>
    <row r="151" spans="1:13" ht="8.25" customHeight="1" x14ac:dyDescent="0.25">
      <c r="A151" s="571"/>
      <c r="B151" s="611"/>
      <c r="C151" s="611"/>
      <c r="D151" s="612"/>
      <c r="E151" s="612"/>
      <c r="F151" s="612"/>
      <c r="H151" s="312"/>
      <c r="I151" s="671"/>
      <c r="J151" s="309"/>
      <c r="K151" s="309"/>
      <c r="L151" s="309"/>
    </row>
    <row r="152" spans="1:13" x14ac:dyDescent="0.25">
      <c r="A152" s="308" t="s">
        <v>595</v>
      </c>
      <c r="B152" s="672"/>
      <c r="H152" s="312"/>
      <c r="I152" s="673"/>
      <c r="L152" s="309"/>
      <c r="M152" s="309"/>
    </row>
    <row r="153" spans="1:13" x14ac:dyDescent="0.25">
      <c r="A153" s="565"/>
      <c r="B153" s="674"/>
      <c r="C153" s="674"/>
      <c r="D153" s="565"/>
      <c r="E153" s="675"/>
      <c r="F153" s="565"/>
      <c r="H153" s="308"/>
      <c r="I153" s="565"/>
      <c r="J153" s="676"/>
      <c r="K153" s="424"/>
      <c r="L153" s="565"/>
      <c r="M153" s="565"/>
    </row>
    <row r="154" spans="1:13" x14ac:dyDescent="0.25">
      <c r="A154" s="677"/>
      <c r="B154" s="678"/>
      <c r="C154" s="678"/>
      <c r="D154" s="679"/>
      <c r="E154" s="679"/>
      <c r="F154" s="679"/>
      <c r="H154" s="679"/>
      <c r="I154" s="565"/>
      <c r="J154" s="679"/>
      <c r="K154" s="679"/>
      <c r="L154" s="565"/>
      <c r="M154" s="565"/>
    </row>
    <row r="155" spans="1:13" x14ac:dyDescent="0.25">
      <c r="A155" s="565"/>
      <c r="B155" s="678"/>
      <c r="C155" s="678"/>
      <c r="D155" s="679"/>
      <c r="E155" s="679"/>
      <c r="F155" s="679"/>
      <c r="H155" s="679"/>
      <c r="I155" s="565"/>
      <c r="J155" s="679"/>
      <c r="K155" s="679"/>
      <c r="L155" s="565"/>
      <c r="M155" s="565"/>
    </row>
    <row r="156" spans="1:13" x14ac:dyDescent="0.2">
      <c r="A156" s="565"/>
      <c r="B156" s="678"/>
      <c r="C156" s="678"/>
      <c r="D156" s="679"/>
      <c r="E156" s="679"/>
      <c r="F156" s="679"/>
      <c r="G156" s="680"/>
      <c r="H156" s="679"/>
      <c r="I156" s="565"/>
      <c r="J156" s="679"/>
      <c r="K156" s="679"/>
      <c r="L156" s="565"/>
      <c r="M156" s="565"/>
    </row>
    <row r="157" spans="1:13" x14ac:dyDescent="0.2">
      <c r="A157" s="565"/>
      <c r="B157" s="678"/>
      <c r="C157" s="678"/>
      <c r="D157" s="679"/>
      <c r="E157" s="679"/>
      <c r="F157" s="679"/>
      <c r="G157" s="680"/>
      <c r="H157" s="679"/>
      <c r="I157" s="565"/>
      <c r="J157" s="679"/>
      <c r="K157" s="679"/>
      <c r="L157" s="565"/>
      <c r="M157" s="565"/>
    </row>
    <row r="158" spans="1:13" x14ac:dyDescent="0.2">
      <c r="A158" s="565"/>
      <c r="B158" s="678"/>
      <c r="C158" s="678"/>
      <c r="D158" s="679"/>
      <c r="E158" s="679"/>
      <c r="F158" s="679"/>
      <c r="G158" s="680"/>
      <c r="H158" s="679"/>
      <c r="I158" s="565"/>
      <c r="J158" s="679"/>
      <c r="K158" s="679"/>
      <c r="L158" s="565"/>
      <c r="M158" s="565"/>
    </row>
    <row r="159" spans="1:13" x14ac:dyDescent="0.2">
      <c r="A159" s="565"/>
      <c r="B159" s="678"/>
      <c r="C159" s="678"/>
      <c r="D159" s="679"/>
      <c r="E159" s="679"/>
      <c r="F159" s="679"/>
      <c r="G159" s="680"/>
      <c r="H159" s="679"/>
      <c r="I159" s="565"/>
      <c r="J159" s="679"/>
      <c r="K159" s="679"/>
      <c r="L159" s="565"/>
      <c r="M159" s="565"/>
    </row>
    <row r="160" spans="1:13" x14ac:dyDescent="0.2">
      <c r="A160" s="565"/>
      <c r="B160" s="678"/>
      <c r="C160" s="678"/>
      <c r="D160" s="679"/>
      <c r="E160" s="679"/>
      <c r="F160" s="679"/>
      <c r="G160" s="680"/>
      <c r="H160" s="679"/>
      <c r="I160" s="565"/>
      <c r="J160" s="679"/>
      <c r="K160" s="679"/>
      <c r="L160" s="565"/>
      <c r="M160" s="565"/>
    </row>
    <row r="161" spans="1:13" x14ac:dyDescent="0.2">
      <c r="A161" s="565"/>
      <c r="B161" s="678"/>
      <c r="C161" s="678"/>
      <c r="D161" s="679"/>
      <c r="E161" s="679"/>
      <c r="F161" s="679"/>
      <c r="G161" s="680"/>
      <c r="H161" s="679"/>
      <c r="I161" s="565"/>
      <c r="J161" s="679"/>
      <c r="K161" s="679"/>
      <c r="L161" s="565"/>
      <c r="M161" s="565"/>
    </row>
    <row r="162" spans="1:13" x14ac:dyDescent="0.2">
      <c r="A162" s="565"/>
      <c r="B162" s="678"/>
      <c r="C162" s="678"/>
      <c r="D162" s="679"/>
      <c r="E162" s="679"/>
      <c r="F162" s="679"/>
      <c r="G162" s="680"/>
      <c r="H162" s="679"/>
      <c r="I162" s="565"/>
      <c r="J162" s="679"/>
      <c r="K162" s="679"/>
      <c r="L162" s="565"/>
      <c r="M162" s="565"/>
    </row>
    <row r="163" spans="1:13" x14ac:dyDescent="0.2">
      <c r="A163" s="565"/>
      <c r="B163" s="678"/>
      <c r="C163" s="678"/>
      <c r="D163" s="679"/>
      <c r="E163" s="679"/>
      <c r="F163" s="679"/>
      <c r="G163" s="680"/>
      <c r="H163" s="679"/>
      <c r="I163" s="565"/>
      <c r="J163" s="679"/>
      <c r="K163" s="679"/>
      <c r="L163" s="565"/>
      <c r="M163" s="565"/>
    </row>
    <row r="164" spans="1:13" x14ac:dyDescent="0.2">
      <c r="A164" s="565"/>
      <c r="B164" s="678"/>
      <c r="C164" s="678"/>
      <c r="D164" s="679"/>
      <c r="E164" s="679"/>
      <c r="F164" s="679"/>
      <c r="G164" s="680"/>
      <c r="H164" s="679"/>
      <c r="I164" s="565"/>
      <c r="J164" s="679"/>
      <c r="K164" s="679"/>
      <c r="L164" s="565"/>
      <c r="M164" s="565"/>
    </row>
    <row r="165" spans="1:13" x14ac:dyDescent="0.2">
      <c r="A165" s="565"/>
      <c r="B165" s="678"/>
      <c r="C165" s="678"/>
      <c r="D165" s="679"/>
      <c r="E165" s="679"/>
      <c r="F165" s="679"/>
      <c r="G165" s="680"/>
      <c r="H165" s="679"/>
      <c r="I165" s="565"/>
      <c r="J165" s="679"/>
      <c r="K165" s="679"/>
      <c r="L165" s="565"/>
      <c r="M165" s="565"/>
    </row>
    <row r="166" spans="1:13" x14ac:dyDescent="0.2">
      <c r="A166" s="565"/>
      <c r="B166" s="678"/>
      <c r="C166" s="678"/>
      <c r="D166" s="679"/>
      <c r="E166" s="679"/>
      <c r="F166" s="679"/>
      <c r="G166" s="680"/>
      <c r="H166" s="679"/>
      <c r="I166" s="565"/>
      <c r="J166" s="679"/>
      <c r="K166" s="679"/>
      <c r="L166" s="565"/>
      <c r="M166" s="565"/>
    </row>
    <row r="167" spans="1:13" x14ac:dyDescent="0.2">
      <c r="A167" s="565"/>
      <c r="B167" s="678"/>
      <c r="C167" s="678"/>
      <c r="D167" s="679"/>
      <c r="E167" s="679"/>
      <c r="F167" s="679"/>
      <c r="G167" s="680"/>
      <c r="H167" s="679"/>
      <c r="I167" s="565"/>
      <c r="J167" s="679"/>
      <c r="K167" s="679"/>
      <c r="L167" s="565"/>
      <c r="M167" s="565"/>
    </row>
    <row r="168" spans="1:13" x14ac:dyDescent="0.2">
      <c r="A168" s="565"/>
      <c r="B168" s="678"/>
      <c r="C168" s="678"/>
      <c r="D168" s="679"/>
      <c r="E168" s="679"/>
      <c r="F168" s="679"/>
      <c r="G168" s="680"/>
      <c r="H168" s="679"/>
      <c r="I168" s="565"/>
      <c r="J168" s="679"/>
      <c r="K168" s="679"/>
      <c r="L168" s="565"/>
      <c r="M168" s="565"/>
    </row>
    <row r="169" spans="1:13" x14ac:dyDescent="0.2">
      <c r="A169" s="565"/>
      <c r="B169" s="678"/>
      <c r="C169" s="678"/>
      <c r="D169" s="679"/>
      <c r="E169" s="679"/>
      <c r="F169" s="679"/>
      <c r="G169" s="680"/>
      <c r="H169" s="679"/>
      <c r="I169" s="565"/>
      <c r="J169" s="679"/>
      <c r="K169" s="679"/>
      <c r="L169" s="565"/>
      <c r="M169" s="565"/>
    </row>
  </sheetData>
  <mergeCells count="8">
    <mergeCell ref="A57:G57"/>
    <mergeCell ref="A65:G65"/>
    <mergeCell ref="A1:G1"/>
    <mergeCell ref="A2:G2"/>
    <mergeCell ref="A3:G3"/>
    <mergeCell ref="A9:G9"/>
    <mergeCell ref="A28:G28"/>
    <mergeCell ref="A43:G43"/>
  </mergeCells>
  <conditionalFormatting sqref="C11:C23 C47 C55:C56 C64 C66:C71 C29:C42 C44:C45 C25:C27">
    <cfRule type="expression" dxfId="155" priority="59">
      <formula>$B11&lt;&gt;""</formula>
    </cfRule>
  </conditionalFormatting>
  <conditionalFormatting sqref="B11:B23 B47 B55:B56 B25:B27 B61:B64 B29:B42 B44:B45 B144:B150 B66:B74 B78:B142 C80">
    <cfRule type="expression" dxfId="154" priority="60">
      <formula>$L11="N/A"</formula>
    </cfRule>
    <cfRule type="expression" dxfId="153" priority="61">
      <formula>AND($L11="Req'd",$B11="")</formula>
    </cfRule>
  </conditionalFormatting>
  <conditionalFormatting sqref="B46">
    <cfRule type="expression" dxfId="152" priority="57">
      <formula>$L46="N/A"</formula>
    </cfRule>
    <cfRule type="expression" dxfId="151" priority="58">
      <formula>AND($L46="Req'd",$B46="")</formula>
    </cfRule>
  </conditionalFormatting>
  <conditionalFormatting sqref="C58 C63">
    <cfRule type="expression" dxfId="150" priority="53">
      <formula>$B58&lt;&gt;""</formula>
    </cfRule>
  </conditionalFormatting>
  <conditionalFormatting sqref="B58:B59">
    <cfRule type="expression" dxfId="149" priority="54">
      <formula>$L58="N/A"</formula>
    </cfRule>
    <cfRule type="expression" dxfId="148" priority="55">
      <formula>AND($L58="Req'd",$B58="")</formula>
    </cfRule>
  </conditionalFormatting>
  <conditionalFormatting sqref="B60">
    <cfRule type="expression" dxfId="147" priority="51">
      <formula>$L60="N/A"</formula>
    </cfRule>
    <cfRule type="expression" dxfId="146" priority="52">
      <formula>AND($L60="Req'd",$B60="")</formula>
    </cfRule>
  </conditionalFormatting>
  <conditionalFormatting sqref="C59">
    <cfRule type="expression" dxfId="145" priority="50">
      <formula>$B59&lt;&gt;""</formula>
    </cfRule>
  </conditionalFormatting>
  <conditionalFormatting sqref="C48">
    <cfRule type="expression" dxfId="144" priority="46">
      <formula>$B48&lt;&gt;""</formula>
    </cfRule>
  </conditionalFormatting>
  <conditionalFormatting sqref="B48">
    <cfRule type="expression" dxfId="143" priority="47">
      <formula>$L48="N/A"</formula>
    </cfRule>
    <cfRule type="expression" dxfId="142" priority="48">
      <formula>AND($L48="Req'd",$B48="")</formula>
    </cfRule>
  </conditionalFormatting>
  <conditionalFormatting sqref="C60">
    <cfRule type="expression" dxfId="141" priority="45">
      <formula>$B60&lt;&gt;""</formula>
    </cfRule>
  </conditionalFormatting>
  <conditionalFormatting sqref="C61">
    <cfRule type="expression" dxfId="140" priority="44">
      <formula>$B61&lt;&gt;""</formula>
    </cfRule>
  </conditionalFormatting>
  <conditionalFormatting sqref="C62">
    <cfRule type="expression" dxfId="139" priority="43">
      <formula>$B62&lt;&gt;""</formula>
    </cfRule>
  </conditionalFormatting>
  <conditionalFormatting sqref="B49">
    <cfRule type="expression" dxfId="138" priority="41">
      <formula>$L49="N/A"</formula>
    </cfRule>
    <cfRule type="expression" dxfId="137" priority="42">
      <formula>AND($L49="Req'd",$B49="")</formula>
    </cfRule>
  </conditionalFormatting>
  <conditionalFormatting sqref="B50">
    <cfRule type="expression" dxfId="136" priority="39">
      <formula>$L50="N/A"</formula>
    </cfRule>
    <cfRule type="expression" dxfId="135" priority="40">
      <formula>AND($L50="Req'd",$B50="")</formula>
    </cfRule>
  </conditionalFormatting>
  <conditionalFormatting sqref="B51:B52">
    <cfRule type="expression" dxfId="134" priority="37">
      <formula>$L51="N/A"</formula>
    </cfRule>
    <cfRule type="expression" dxfId="133" priority="38">
      <formula>AND($L51="Req'd",$B51="")</formula>
    </cfRule>
  </conditionalFormatting>
  <conditionalFormatting sqref="C54">
    <cfRule type="expression" dxfId="132" priority="31">
      <formula>$B54&lt;&gt;""</formula>
    </cfRule>
  </conditionalFormatting>
  <conditionalFormatting sqref="C53">
    <cfRule type="expression" dxfId="131" priority="34">
      <formula>$B53&lt;&gt;""</formula>
    </cfRule>
  </conditionalFormatting>
  <conditionalFormatting sqref="B53">
    <cfRule type="expression" dxfId="130" priority="35">
      <formula>$L53="N/A"</formula>
    </cfRule>
    <cfRule type="expression" dxfId="129" priority="36">
      <formula>AND($L53="Req'd",$B53="")</formula>
    </cfRule>
  </conditionalFormatting>
  <conditionalFormatting sqref="B54">
    <cfRule type="expression" dxfId="128" priority="32">
      <formula>$L54="N/A"</formula>
    </cfRule>
    <cfRule type="expression" dxfId="127" priority="33">
      <formula>AND($L54="Req'd",$B54="")</formula>
    </cfRule>
  </conditionalFormatting>
  <conditionalFormatting sqref="C50">
    <cfRule type="expression" dxfId="126" priority="30">
      <formula>$B50&lt;&gt;""</formula>
    </cfRule>
  </conditionalFormatting>
  <conditionalFormatting sqref="C51">
    <cfRule type="expression" dxfId="125" priority="27">
      <formula>$B51&lt;&gt;""</formula>
    </cfRule>
  </conditionalFormatting>
  <conditionalFormatting sqref="C49">
    <cfRule type="expression" dxfId="124" priority="25">
      <formula>$B49&lt;&gt;""</formula>
    </cfRule>
  </conditionalFormatting>
  <conditionalFormatting sqref="B75:B77 C77">
    <cfRule type="expression" dxfId="123" priority="22">
      <formula>$L75="N/A"</formula>
    </cfRule>
    <cfRule type="expression" dxfId="122" priority="23">
      <formula>AND($L75="Req'd",$B75="")</formula>
    </cfRule>
  </conditionalFormatting>
  <conditionalFormatting sqref="C46">
    <cfRule type="expression" dxfId="121" priority="21">
      <formula>$B46&lt;&gt;""</formula>
    </cfRule>
  </conditionalFormatting>
  <conditionalFormatting sqref="C52">
    <cfRule type="expression" dxfId="120" priority="20">
      <formula>$B52&lt;&gt;""</formula>
    </cfRule>
  </conditionalFormatting>
  <conditionalFormatting sqref="B143">
    <cfRule type="expression" dxfId="119" priority="18">
      <formula>$L143="N/A"</formula>
    </cfRule>
    <cfRule type="expression" dxfId="118" priority="19">
      <formula>AND($L143="Req'd",$B143="")</formula>
    </cfRule>
  </conditionalFormatting>
  <conditionalFormatting sqref="C75:C76">
    <cfRule type="expression" dxfId="117" priority="16">
      <formula>$L75="N/A"</formula>
    </cfRule>
    <cfRule type="expression" dxfId="116" priority="17">
      <formula>AND($L75="Req'd",$B75="")</formula>
    </cfRule>
  </conditionalFormatting>
  <conditionalFormatting sqref="B24">
    <cfRule type="expression" dxfId="115" priority="14">
      <formula>$K24="N/A"</formula>
    </cfRule>
    <cfRule type="expression" dxfId="114" priority="15">
      <formula>AND($K24="Req'd",$B24="")</formula>
    </cfRule>
  </conditionalFormatting>
  <conditionalFormatting sqref="D11:D23 D47 D55:D56 D64 D66:D71 D29:D42 D44:D45 D25:D27">
    <cfRule type="expression" dxfId="113" priority="13">
      <formula>$B11&lt;&gt;""</formula>
    </cfRule>
  </conditionalFormatting>
  <conditionalFormatting sqref="D46">
    <cfRule type="expression" dxfId="112" priority="12">
      <formula>$B46&lt;&gt;""</formula>
    </cfRule>
  </conditionalFormatting>
  <conditionalFormatting sqref="D58 D63">
    <cfRule type="expression" dxfId="111" priority="11">
      <formula>$B58&lt;&gt;""</formula>
    </cfRule>
  </conditionalFormatting>
  <conditionalFormatting sqref="D59">
    <cfRule type="expression" dxfId="110" priority="10">
      <formula>$B59&lt;&gt;""</formula>
    </cfRule>
  </conditionalFormatting>
  <conditionalFormatting sqref="D60">
    <cfRule type="expression" dxfId="109" priority="9">
      <formula>$B60&lt;&gt;""</formula>
    </cfRule>
  </conditionalFormatting>
  <conditionalFormatting sqref="D61">
    <cfRule type="expression" dxfId="108" priority="8">
      <formula>$B61&lt;&gt;""</formula>
    </cfRule>
  </conditionalFormatting>
  <conditionalFormatting sqref="D62">
    <cfRule type="expression" dxfId="107" priority="7">
      <formula>$B62&lt;&gt;""</formula>
    </cfRule>
  </conditionalFormatting>
  <conditionalFormatting sqref="D54">
    <cfRule type="expression" dxfId="106" priority="5">
      <formula>$B54&lt;&gt;""</formula>
    </cfRule>
  </conditionalFormatting>
  <conditionalFormatting sqref="D53">
    <cfRule type="expression" dxfId="105" priority="6">
      <formula>$B53&lt;&gt;""</formula>
    </cfRule>
  </conditionalFormatting>
  <conditionalFormatting sqref="D50">
    <cfRule type="expression" dxfId="104" priority="4">
      <formula>$B50&lt;&gt;""</formula>
    </cfRule>
  </conditionalFormatting>
  <conditionalFormatting sqref="D51:D52">
    <cfRule type="expression" dxfId="103" priority="3">
      <formula>$B51&lt;&gt;""</formula>
    </cfRule>
  </conditionalFormatting>
  <conditionalFormatting sqref="D49">
    <cfRule type="expression" dxfId="102" priority="2">
      <formula>$B49&lt;&gt;""</formula>
    </cfRule>
  </conditionalFormatting>
  <conditionalFormatting sqref="D48">
    <cfRule type="expression" dxfId="101" priority="1">
      <formula>$B48&lt;&gt;""</formula>
    </cfRule>
  </conditionalFormatting>
  <printOptions horizontalCentered="1"/>
  <pageMargins left="0.7" right="0.7" top="0.75" bottom="0.75" header="0.3" footer="0.3"/>
  <pageSetup scale="73" fitToHeight="0" orientation="landscape" verticalDpi="300" r:id="rId1"/>
  <headerFooter alignWithMargins="0">
    <oddHeader>&amp;L&amp;G&amp;C&amp;"-,Bold"&amp;14GTP BACT ANALYSIS
Trade Secrets</oddHeader>
    <oddFooter>&amp;LAppendix D - BACT Cost Effectiveness (Main Power Generator)&amp;RPage &amp;P of &amp;N</oddFooter>
  </headerFooter>
  <rowBreaks count="2" manualBreakCount="2">
    <brk id="41" max="6" man="1"/>
    <brk id="84" max="6" man="1"/>
  </rowBreaks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</sheetPr>
  <dimension ref="A3:J72"/>
  <sheetViews>
    <sheetView view="pageLayout" topLeftCell="A2" zoomScaleNormal="80" workbookViewId="0">
      <selection activeCell="D24" sqref="D24"/>
    </sheetView>
  </sheetViews>
  <sheetFormatPr defaultColWidth="9.140625" defaultRowHeight="12.75" x14ac:dyDescent="0.2"/>
  <cols>
    <col min="1" max="1" width="29.85546875" style="21" customWidth="1"/>
    <col min="2" max="2" width="12.7109375" style="22" customWidth="1"/>
    <col min="3" max="3" width="14.140625" style="22" customWidth="1"/>
    <col min="4" max="4" width="25" style="22" bestFit="1" customWidth="1"/>
    <col min="5" max="5" width="30.7109375" style="22" customWidth="1"/>
    <col min="6" max="6" width="12.7109375" style="21" customWidth="1"/>
    <col min="7" max="7" width="20.7109375" style="31" customWidth="1"/>
    <col min="8" max="8" width="12.7109375" style="21" customWidth="1"/>
    <col min="9" max="9" width="4.28515625" style="21" bestFit="1" customWidth="1"/>
    <col min="10" max="10" width="12" style="21" bestFit="1" customWidth="1"/>
    <col min="11" max="16384" width="9.140625" style="21"/>
  </cols>
  <sheetData>
    <row r="3" spans="1:9" ht="18" x14ac:dyDescent="0.25">
      <c r="A3" s="971" t="s">
        <v>428</v>
      </c>
      <c r="B3" s="971"/>
      <c r="C3" s="971"/>
      <c r="D3" s="971"/>
      <c r="E3" s="971"/>
      <c r="F3" s="971"/>
      <c r="G3" s="971"/>
      <c r="H3" s="971"/>
      <c r="I3" s="971"/>
    </row>
    <row r="4" spans="1:9" ht="18" x14ac:dyDescent="0.25">
      <c r="A4" s="971" t="s">
        <v>655</v>
      </c>
      <c r="B4" s="971"/>
      <c r="C4" s="971"/>
      <c r="D4" s="971"/>
      <c r="E4" s="971"/>
      <c r="F4" s="971"/>
      <c r="G4" s="971"/>
      <c r="H4" s="971"/>
      <c r="I4" s="971"/>
    </row>
    <row r="5" spans="1:9" ht="18" x14ac:dyDescent="0.25">
      <c r="A5" s="971" t="s">
        <v>211</v>
      </c>
      <c r="B5" s="971"/>
      <c r="C5" s="971"/>
      <c r="D5" s="971"/>
      <c r="E5" s="971"/>
      <c r="F5" s="971"/>
      <c r="G5" s="971"/>
      <c r="H5" s="971"/>
      <c r="I5" s="971"/>
    </row>
    <row r="7" spans="1:9" ht="16.5" thickBot="1" x14ac:dyDescent="0.3">
      <c r="A7" s="191" t="s">
        <v>212</v>
      </c>
      <c r="B7" s="192"/>
      <c r="C7" s="192"/>
      <c r="D7" s="192"/>
      <c r="E7" s="192"/>
      <c r="F7" s="181"/>
      <c r="G7" s="182"/>
      <c r="H7" s="181"/>
      <c r="I7" s="181"/>
    </row>
    <row r="8" spans="1:9" ht="13.5" thickTop="1" x14ac:dyDescent="0.2"/>
    <row r="9" spans="1:9" x14ac:dyDescent="0.2">
      <c r="D9" s="23"/>
      <c r="E9" s="199" t="s">
        <v>219</v>
      </c>
    </row>
    <row r="10" spans="1:9" ht="15.75" x14ac:dyDescent="0.3">
      <c r="A10" s="97" t="s">
        <v>603</v>
      </c>
      <c r="B10" s="98" t="s">
        <v>615</v>
      </c>
      <c r="C10" s="681">
        <v>1164</v>
      </c>
      <c r="D10" s="25"/>
      <c r="E10" s="200" t="s">
        <v>220</v>
      </c>
      <c r="F10" s="204"/>
      <c r="G10" s="205" t="s">
        <v>69</v>
      </c>
    </row>
    <row r="11" spans="1:9" ht="15.75" x14ac:dyDescent="0.3">
      <c r="A11" s="97" t="s">
        <v>54</v>
      </c>
      <c r="B11" s="98" t="s">
        <v>130</v>
      </c>
      <c r="C11" s="688">
        <f>(C22 - C24)/C22</f>
        <v>0.8666376811594203</v>
      </c>
      <c r="E11" s="206" t="s">
        <v>101</v>
      </c>
      <c r="F11" s="105" t="s">
        <v>616</v>
      </c>
      <c r="G11" s="207">
        <v>0.19</v>
      </c>
    </row>
    <row r="12" spans="1:9" x14ac:dyDescent="0.2">
      <c r="A12" s="101" t="s">
        <v>59</v>
      </c>
      <c r="B12" s="105" t="s">
        <v>127</v>
      </c>
      <c r="C12" s="188">
        <v>1.05</v>
      </c>
      <c r="D12" s="26"/>
      <c r="E12" s="200" t="s">
        <v>102</v>
      </c>
      <c r="F12" s="204"/>
      <c r="G12" s="168"/>
    </row>
    <row r="13" spans="1:9" x14ac:dyDescent="0.2">
      <c r="A13" s="101" t="s">
        <v>156</v>
      </c>
      <c r="B13" s="105" t="s">
        <v>157</v>
      </c>
      <c r="C13" s="103">
        <f>C12/G15</f>
        <v>1.05</v>
      </c>
      <c r="D13" s="26"/>
      <c r="E13" s="200" t="s">
        <v>622</v>
      </c>
      <c r="F13" s="97" t="s">
        <v>64</v>
      </c>
      <c r="G13" s="170">
        <v>58</v>
      </c>
    </row>
    <row r="14" spans="1:9" ht="15.75" x14ac:dyDescent="0.3">
      <c r="A14" s="101" t="s">
        <v>60</v>
      </c>
      <c r="B14" s="102"/>
      <c r="C14" s="104">
        <f>C11/C12</f>
        <v>0.82536922015182879</v>
      </c>
      <c r="D14" s="26"/>
      <c r="E14" s="200" t="s">
        <v>620</v>
      </c>
      <c r="F14" s="97" t="s">
        <v>190</v>
      </c>
      <c r="G14" s="691">
        <v>7.782</v>
      </c>
    </row>
    <row r="15" spans="1:9" x14ac:dyDescent="0.2">
      <c r="A15" s="101" t="s">
        <v>184</v>
      </c>
      <c r="B15" s="105" t="s">
        <v>12</v>
      </c>
      <c r="C15" s="103">
        <f>((C21*C10*C11*C12*G16)/(G15*46.01))</f>
        <v>21.679190063889408</v>
      </c>
      <c r="D15" s="26"/>
      <c r="E15" s="200" t="s">
        <v>128</v>
      </c>
      <c r="F15" s="97" t="s">
        <v>129</v>
      </c>
      <c r="G15" s="170">
        <v>1</v>
      </c>
    </row>
    <row r="16" spans="1:9" x14ac:dyDescent="0.2">
      <c r="A16" s="101" t="s">
        <v>185</v>
      </c>
      <c r="B16" s="105" t="s">
        <v>12</v>
      </c>
      <c r="C16" s="103">
        <f>(C15/G11)</f>
        <v>114.10100033626004</v>
      </c>
      <c r="D16" s="26"/>
      <c r="E16" s="200" t="s">
        <v>71</v>
      </c>
      <c r="F16" s="97" t="s">
        <v>72</v>
      </c>
      <c r="G16" s="170">
        <v>17.03</v>
      </c>
    </row>
    <row r="17" spans="1:10" ht="14.25" x14ac:dyDescent="0.2">
      <c r="A17" s="101" t="s">
        <v>186</v>
      </c>
      <c r="B17" s="105" t="s">
        <v>65</v>
      </c>
      <c r="C17" s="103">
        <f>C16*$G$14/$G$13</f>
        <v>15.309206631323718</v>
      </c>
      <c r="D17" s="26"/>
      <c r="E17" s="200" t="s">
        <v>605</v>
      </c>
      <c r="F17" s="97" t="s">
        <v>90</v>
      </c>
      <c r="G17" s="208">
        <v>2.2400000000000002</v>
      </c>
    </row>
    <row r="18" spans="1:10" x14ac:dyDescent="0.2">
      <c r="A18" s="101" t="s">
        <v>67</v>
      </c>
      <c r="B18" s="105" t="s">
        <v>66</v>
      </c>
      <c r="C18" s="103">
        <f>C17*14*24</f>
        <v>5143.8934281247693</v>
      </c>
      <c r="D18" s="26"/>
    </row>
    <row r="19" spans="1:10" x14ac:dyDescent="0.2">
      <c r="A19" s="27"/>
      <c r="B19" s="29"/>
      <c r="C19" s="30"/>
      <c r="D19" s="26"/>
    </row>
    <row r="20" spans="1:10" x14ac:dyDescent="0.2">
      <c r="A20" s="33" t="s">
        <v>392</v>
      </c>
      <c r="B20" s="29"/>
      <c r="C20" s="30"/>
      <c r="D20" s="26"/>
    </row>
    <row r="21" spans="1:10" ht="14.25" x14ac:dyDescent="0.2">
      <c r="A21" s="101" t="s">
        <v>598</v>
      </c>
      <c r="B21" s="105" t="s">
        <v>113</v>
      </c>
      <c r="C21" s="107">
        <f>(15/10^6)*(46/385)*8710*(20.9/(20.9-15))</f>
        <v>5.5296900726392269E-2</v>
      </c>
      <c r="D21" s="26"/>
      <c r="E21" s="199" t="s">
        <v>218</v>
      </c>
    </row>
    <row r="22" spans="1:10" ht="15.75" x14ac:dyDescent="0.3">
      <c r="A22" s="97" t="s">
        <v>599</v>
      </c>
      <c r="B22" s="99" t="s">
        <v>113</v>
      </c>
      <c r="C22" s="213">
        <f>C21</f>
        <v>5.5296900726392269E-2</v>
      </c>
      <c r="D22" s="26"/>
      <c r="E22" s="211" t="s">
        <v>223</v>
      </c>
      <c r="F22" s="24" t="s">
        <v>624</v>
      </c>
      <c r="G22" s="159">
        <f>'LNG Turbines - Not Used'!C33/60</f>
        <v>1535884.5774360371</v>
      </c>
    </row>
    <row r="23" spans="1:10" ht="15.75" x14ac:dyDescent="0.3">
      <c r="A23" s="101" t="s">
        <v>114</v>
      </c>
      <c r="B23" s="105" t="s">
        <v>115</v>
      </c>
      <c r="C23" s="103">
        <v>2</v>
      </c>
      <c r="D23" s="26"/>
      <c r="E23" s="211" t="s">
        <v>155</v>
      </c>
      <c r="F23" s="24" t="s">
        <v>169</v>
      </c>
      <c r="G23" s="136">
        <f>G22/(16*60)</f>
        <v>1599.8797681625388</v>
      </c>
    </row>
    <row r="24" spans="1:10" x14ac:dyDescent="0.2">
      <c r="A24" s="101" t="s">
        <v>114</v>
      </c>
      <c r="B24" s="105" t="s">
        <v>113</v>
      </c>
      <c r="C24" s="106">
        <f>(C23/10^6)*8710*(20.9/(20.9-15))*(46.01/385)</f>
        <v>7.3745229055690083E-3</v>
      </c>
      <c r="D24" s="26"/>
      <c r="E24" s="211"/>
      <c r="F24" s="24"/>
      <c r="G24" s="160"/>
    </row>
    <row r="25" spans="1:10" ht="14.25" x14ac:dyDescent="0.2">
      <c r="D25" s="26"/>
      <c r="E25" s="211" t="s">
        <v>614</v>
      </c>
      <c r="F25" s="24" t="s">
        <v>126</v>
      </c>
      <c r="G25" s="306">
        <f>160*(567.5/584.6)</f>
        <v>155.31987683886416</v>
      </c>
      <c r="J25" s="699">
        <f>G25*G40</f>
        <v>682501.56941071129</v>
      </c>
    </row>
    <row r="26" spans="1:10" x14ac:dyDescent="0.2">
      <c r="C26" s="695">
        <f>1-(C24/C22)</f>
        <v>0.8666376811594203</v>
      </c>
      <c r="E26" s="211" t="s">
        <v>199</v>
      </c>
      <c r="F26" s="24"/>
      <c r="G26" s="123">
        <f>24000/C28</f>
        <v>2.7397260273972601</v>
      </c>
    </row>
    <row r="27" spans="1:10" ht="14.25" x14ac:dyDescent="0.2">
      <c r="A27" s="155" t="s">
        <v>216</v>
      </c>
      <c r="D27" s="26"/>
      <c r="E27" s="211" t="s">
        <v>606</v>
      </c>
      <c r="F27" s="24"/>
      <c r="G27" s="128">
        <v>7.0000000000000007E-2</v>
      </c>
    </row>
    <row r="28" spans="1:10" x14ac:dyDescent="0.2">
      <c r="A28" s="209" t="s">
        <v>604</v>
      </c>
      <c r="B28" s="105"/>
      <c r="C28" s="201">
        <v>8760</v>
      </c>
      <c r="D28" s="26"/>
      <c r="E28" s="23"/>
      <c r="F28" s="24"/>
      <c r="G28" s="32"/>
    </row>
    <row r="29" spans="1:10" x14ac:dyDescent="0.2">
      <c r="A29" s="209" t="s">
        <v>178</v>
      </c>
      <c r="B29" s="105" t="s">
        <v>179</v>
      </c>
      <c r="C29" s="202">
        <f>(C10*C28/C32)/(C10*8760/C32)</f>
        <v>1</v>
      </c>
      <c r="D29" s="26"/>
      <c r="E29" s="23"/>
      <c r="F29" s="24"/>
      <c r="G29" s="32"/>
    </row>
    <row r="30" spans="1:10" x14ac:dyDescent="0.2">
      <c r="D30" s="26"/>
      <c r="E30" s="211" t="s">
        <v>151</v>
      </c>
      <c r="F30" s="24" t="s">
        <v>174</v>
      </c>
      <c r="G30" s="169">
        <v>3</v>
      </c>
    </row>
    <row r="31" spans="1:10" x14ac:dyDescent="0.2">
      <c r="A31" s="155" t="s">
        <v>217</v>
      </c>
      <c r="D31" s="26"/>
      <c r="E31" s="211"/>
      <c r="F31" s="24" t="s">
        <v>175</v>
      </c>
      <c r="G31" s="169">
        <v>1</v>
      </c>
    </row>
    <row r="32" spans="1:10" ht="14.25" x14ac:dyDescent="0.2">
      <c r="A32" s="209" t="s">
        <v>215</v>
      </c>
      <c r="B32" s="105" t="s">
        <v>181</v>
      </c>
      <c r="C32" s="201">
        <f>'LNG Fuel'!C33</f>
        <v>1087</v>
      </c>
      <c r="D32" s="26"/>
      <c r="E32" s="211"/>
      <c r="F32" s="24"/>
      <c r="G32" s="9"/>
    </row>
    <row r="33" spans="1:10" x14ac:dyDescent="0.2">
      <c r="A33" s="209"/>
      <c r="B33" s="187"/>
      <c r="C33" s="203"/>
      <c r="D33" s="26"/>
      <c r="E33" s="211" t="s">
        <v>627</v>
      </c>
      <c r="F33" s="24" t="s">
        <v>221</v>
      </c>
      <c r="G33" s="165">
        <f>G34+G35</f>
        <v>2</v>
      </c>
    </row>
    <row r="34" spans="1:10" x14ac:dyDescent="0.2">
      <c r="A34" s="692"/>
      <c r="B34" s="693"/>
      <c r="C34" s="694"/>
      <c r="D34" s="26"/>
      <c r="E34" s="211" t="s">
        <v>152</v>
      </c>
      <c r="F34" s="24" t="s">
        <v>628</v>
      </c>
      <c r="G34" s="165">
        <f>ROUNDUP((G40/(3.1*G23)),0)</f>
        <v>1</v>
      </c>
    </row>
    <row r="35" spans="1:10" x14ac:dyDescent="0.2">
      <c r="A35" s="692"/>
      <c r="B35" s="693"/>
      <c r="C35" s="694"/>
      <c r="D35" s="26"/>
      <c r="E35" s="211" t="s">
        <v>626</v>
      </c>
      <c r="F35" s="24" t="s">
        <v>625</v>
      </c>
      <c r="G35" s="165">
        <v>1</v>
      </c>
    </row>
    <row r="36" spans="1:10" x14ac:dyDescent="0.2">
      <c r="A36" s="27"/>
      <c r="B36" s="29"/>
      <c r="C36" s="30"/>
      <c r="D36" s="26"/>
      <c r="E36" s="211" t="s">
        <v>170</v>
      </c>
      <c r="F36" s="24" t="s">
        <v>171</v>
      </c>
      <c r="G36" s="161">
        <f>(G40/(G33*G23))+1</f>
        <v>2.3732805679551965</v>
      </c>
    </row>
    <row r="37" spans="1:10" x14ac:dyDescent="0.2">
      <c r="A37" s="28"/>
      <c r="B37" s="21"/>
      <c r="C37" s="31"/>
      <c r="D37" s="26"/>
      <c r="E37" s="211" t="s">
        <v>172</v>
      </c>
      <c r="F37" s="24" t="s">
        <v>173</v>
      </c>
      <c r="G37" s="165">
        <f>G33*(7+G36)+9</f>
        <v>27.746561135910394</v>
      </c>
    </row>
    <row r="38" spans="1:10" x14ac:dyDescent="0.2">
      <c r="A38" s="22"/>
      <c r="B38" s="21"/>
      <c r="C38" s="31"/>
      <c r="D38" s="26"/>
      <c r="E38" s="211" t="s">
        <v>617</v>
      </c>
      <c r="F38" s="24" t="s">
        <v>618</v>
      </c>
      <c r="G38" s="21">
        <v>1</v>
      </c>
    </row>
    <row r="39" spans="1:10" x14ac:dyDescent="0.2">
      <c r="A39" s="199" t="s">
        <v>9</v>
      </c>
      <c r="B39" s="21"/>
      <c r="C39" s="31"/>
      <c r="D39" s="26"/>
      <c r="E39" s="21"/>
      <c r="G39" s="21"/>
    </row>
    <row r="40" spans="1:10" ht="14.25" x14ac:dyDescent="0.2">
      <c r="A40" s="210" t="s">
        <v>609</v>
      </c>
      <c r="B40" s="97" t="s">
        <v>11</v>
      </c>
      <c r="C40" s="198">
        <f>AVERAGE('Utility Costs'!I28:I37)/100</f>
        <v>0.15608096020000001</v>
      </c>
      <c r="D40" s="26"/>
      <c r="E40" s="166" t="s">
        <v>123</v>
      </c>
      <c r="F40" s="174" t="s">
        <v>124</v>
      </c>
      <c r="G40" s="167">
        <f>2.81*C10*G41*G42*G43*G44*G45/G38</f>
        <v>4394.1675933645583</v>
      </c>
      <c r="J40" s="21">
        <f>480000/4080</f>
        <v>117.64705882352941</v>
      </c>
    </row>
    <row r="41" spans="1:10" ht="14.25" x14ac:dyDescent="0.2">
      <c r="A41" s="210" t="s">
        <v>610</v>
      </c>
      <c r="B41" s="97" t="s">
        <v>134</v>
      </c>
      <c r="C41" s="198">
        <f>'Utility Costs'!D18</f>
        <v>4.4408333333333347</v>
      </c>
      <c r="D41" s="26"/>
      <c r="E41" s="211" t="s">
        <v>222</v>
      </c>
      <c r="F41" s="175" t="s">
        <v>159</v>
      </c>
      <c r="G41" s="162">
        <f>0.2869+(1.058*C11)</f>
        <v>1.2038026666666668</v>
      </c>
    </row>
    <row r="42" spans="1:10" x14ac:dyDescent="0.2">
      <c r="A42" s="27"/>
      <c r="B42" s="29"/>
      <c r="C42" s="30"/>
      <c r="D42" s="26"/>
      <c r="E42" s="211" t="s">
        <v>160</v>
      </c>
      <c r="F42" s="24" t="s">
        <v>161</v>
      </c>
      <c r="G42" s="162">
        <f>1.2835-(0.0567*G46)</f>
        <v>1.2731033565217391</v>
      </c>
      <c r="I42" s="89"/>
    </row>
    <row r="43" spans="1:10" x14ac:dyDescent="0.2">
      <c r="A43" s="27"/>
      <c r="B43" s="29"/>
      <c r="C43" s="30"/>
      <c r="D43" s="26"/>
      <c r="E43" s="211" t="s">
        <v>162</v>
      </c>
      <c r="F43" s="24" t="s">
        <v>163</v>
      </c>
      <c r="G43" s="162">
        <f>0.8524+(0.3208*C21)</f>
        <v>0.8701392457530267</v>
      </c>
    </row>
    <row r="44" spans="1:10" x14ac:dyDescent="0.2">
      <c r="A44" s="27"/>
      <c r="B44" s="29"/>
      <c r="C44" s="30"/>
      <c r="D44" s="26"/>
      <c r="E44" s="211" t="s">
        <v>165</v>
      </c>
      <c r="F44" s="24" t="s">
        <v>168</v>
      </c>
      <c r="G44" s="162">
        <f>0.9636+(0.0455*'LNG Fuel'!C23)</f>
        <v>0.96403611750000007</v>
      </c>
    </row>
    <row r="45" spans="1:10" ht="16.5" customHeight="1" x14ac:dyDescent="0.2">
      <c r="A45" s="27"/>
      <c r="B45" s="29"/>
      <c r="C45" s="30"/>
      <c r="D45" s="26"/>
      <c r="E45" s="211" t="s">
        <v>601</v>
      </c>
      <c r="F45" s="24" t="s">
        <v>167</v>
      </c>
      <c r="G45" s="21">
        <f>15.16-(0.03937*750)+(2.74*10^-5)*750^2</f>
        <v>1.0449999999999999</v>
      </c>
    </row>
    <row r="46" spans="1:10" x14ac:dyDescent="0.2">
      <c r="A46" s="27"/>
      <c r="B46" s="29"/>
      <c r="C46" s="30"/>
      <c r="D46" s="26"/>
      <c r="E46" s="23" t="s">
        <v>427</v>
      </c>
      <c r="F46" s="24" t="s">
        <v>164</v>
      </c>
      <c r="G46" s="305">
        <f>C13-C11</f>
        <v>0.18336231884057974</v>
      </c>
    </row>
    <row r="47" spans="1:10" x14ac:dyDescent="0.2">
      <c r="A47" s="27"/>
      <c r="B47" s="29"/>
      <c r="C47" s="30"/>
      <c r="D47" s="26"/>
    </row>
    <row r="48" spans="1:10" x14ac:dyDescent="0.2">
      <c r="A48" s="27"/>
      <c r="B48" s="29"/>
      <c r="C48" s="30"/>
      <c r="D48" s="26"/>
    </row>
    <row r="49" spans="1:5" x14ac:dyDescent="0.2">
      <c r="A49" s="27"/>
      <c r="B49" s="29"/>
      <c r="C49" s="30"/>
      <c r="D49" s="26"/>
    </row>
    <row r="50" spans="1:5" x14ac:dyDescent="0.2">
      <c r="A50" s="27"/>
      <c r="B50" s="29"/>
      <c r="C50" s="30"/>
      <c r="D50" s="26"/>
      <c r="E50" s="23"/>
    </row>
    <row r="51" spans="1:5" x14ac:dyDescent="0.2">
      <c r="A51" s="27"/>
      <c r="B51" s="29"/>
      <c r="C51" s="30"/>
      <c r="D51" s="26"/>
      <c r="E51" s="23"/>
    </row>
    <row r="52" spans="1:5" x14ac:dyDescent="0.2">
      <c r="A52" s="196" t="s">
        <v>214</v>
      </c>
      <c r="B52" s="194"/>
      <c r="C52" s="195"/>
      <c r="D52" s="26"/>
    </row>
    <row r="53" spans="1:5" x14ac:dyDescent="0.2">
      <c r="A53" s="970" t="s">
        <v>194</v>
      </c>
      <c r="B53" s="970"/>
      <c r="C53" s="970"/>
      <c r="D53" s="26"/>
      <c r="E53" s="23"/>
    </row>
    <row r="54" spans="1:5" ht="14.25" x14ac:dyDescent="0.2">
      <c r="A54" s="197" t="s">
        <v>640</v>
      </c>
      <c r="B54" s="29"/>
      <c r="C54" s="30"/>
      <c r="D54" s="26"/>
      <c r="E54" s="23"/>
    </row>
    <row r="55" spans="1:5" ht="14.25" x14ac:dyDescent="0.2">
      <c r="A55" s="197"/>
      <c r="B55" s="29"/>
      <c r="C55" s="30"/>
      <c r="D55" s="26"/>
      <c r="E55" s="23"/>
    </row>
    <row r="56" spans="1:5" ht="14.25" x14ac:dyDescent="0.2">
      <c r="A56" s="197" t="s">
        <v>597</v>
      </c>
      <c r="B56" s="29"/>
      <c r="C56" s="30"/>
      <c r="D56" s="26"/>
      <c r="E56" s="23"/>
    </row>
    <row r="57" spans="1:5" ht="14.25" x14ac:dyDescent="0.2">
      <c r="A57" s="197" t="s">
        <v>600</v>
      </c>
      <c r="B57" s="29"/>
      <c r="C57" s="30"/>
      <c r="D57" s="26"/>
      <c r="E57" s="23"/>
    </row>
    <row r="58" spans="1:5" ht="14.25" x14ac:dyDescent="0.2">
      <c r="A58" s="197" t="s">
        <v>638</v>
      </c>
      <c r="B58" s="29"/>
      <c r="C58" s="30"/>
      <c r="D58" s="26"/>
      <c r="E58" s="23"/>
    </row>
    <row r="59" spans="1:5" ht="14.25" x14ac:dyDescent="0.2">
      <c r="A59" s="197" t="s">
        <v>607</v>
      </c>
      <c r="B59" s="29"/>
      <c r="C59" s="30"/>
      <c r="D59" s="26"/>
      <c r="E59" s="23"/>
    </row>
    <row r="60" spans="1:5" ht="12" customHeight="1" x14ac:dyDescent="0.2">
      <c r="A60" s="24" t="s">
        <v>608</v>
      </c>
      <c r="B60" s="29"/>
      <c r="C60" s="30"/>
      <c r="D60" s="26"/>
      <c r="E60" s="23"/>
    </row>
    <row r="61" spans="1:5" ht="12" customHeight="1" x14ac:dyDescent="0.25">
      <c r="A61" s="24" t="s">
        <v>611</v>
      </c>
      <c r="B61" s="29"/>
      <c r="C61" s="30"/>
      <c r="D61" s="26"/>
      <c r="E61" s="23"/>
    </row>
    <row r="62" spans="1:5" ht="15" x14ac:dyDescent="0.25">
      <c r="A62" s="24" t="s">
        <v>613</v>
      </c>
      <c r="B62" s="29"/>
      <c r="C62" s="30"/>
      <c r="D62" s="26"/>
      <c r="E62" s="23"/>
    </row>
    <row r="63" spans="1:5" x14ac:dyDescent="0.2">
      <c r="A63" s="24"/>
      <c r="B63" s="29"/>
      <c r="C63" s="30"/>
      <c r="D63" s="26"/>
      <c r="E63" s="23"/>
    </row>
    <row r="64" spans="1:5" x14ac:dyDescent="0.2">
      <c r="B64" s="29"/>
      <c r="C64" s="30"/>
      <c r="D64" s="26"/>
      <c r="E64" s="23"/>
    </row>
    <row r="65" spans="1:9" x14ac:dyDescent="0.2">
      <c r="B65" s="29"/>
      <c r="C65" s="30"/>
      <c r="D65" s="26"/>
      <c r="E65" s="23"/>
    </row>
    <row r="66" spans="1:9" s="9" customFormat="1" ht="16.5" thickBot="1" x14ac:dyDescent="0.3">
      <c r="A66" s="193" t="s">
        <v>213</v>
      </c>
      <c r="B66" s="177"/>
      <c r="C66" s="178"/>
      <c r="D66" s="179"/>
      <c r="E66" s="180"/>
      <c r="F66" s="181"/>
      <c r="G66" s="182"/>
      <c r="H66" s="181"/>
      <c r="I66" s="181"/>
    </row>
    <row r="67" spans="1:9" ht="13.5" thickTop="1" x14ac:dyDescent="0.2">
      <c r="A67" s="27"/>
      <c r="B67" s="29"/>
      <c r="C67" s="30"/>
      <c r="D67" s="26"/>
      <c r="E67" s="23"/>
    </row>
    <row r="68" spans="1:9" x14ac:dyDescent="0.2">
      <c r="A68" s="27"/>
      <c r="B68" s="29"/>
      <c r="C68" s="30"/>
      <c r="D68" s="26"/>
      <c r="E68" s="23"/>
    </row>
    <row r="69" spans="1:9" x14ac:dyDescent="0.2">
      <c r="A69" s="27"/>
      <c r="B69" s="29"/>
      <c r="C69" s="30"/>
      <c r="D69" s="26"/>
      <c r="E69" s="23"/>
    </row>
    <row r="70" spans="1:9" ht="13.5" thickBot="1" x14ac:dyDescent="0.25">
      <c r="A70" s="108" t="s">
        <v>116</v>
      </c>
      <c r="B70" s="109"/>
      <c r="C70" s="110" t="s">
        <v>13</v>
      </c>
      <c r="D70" s="109" t="s">
        <v>42</v>
      </c>
      <c r="E70" s="111"/>
    </row>
    <row r="71" spans="1:9" x14ac:dyDescent="0.2">
      <c r="A71" s="33" t="s">
        <v>74</v>
      </c>
      <c r="B71" s="29"/>
      <c r="C71" s="34">
        <f>(C10*(3380+((6.12*G37)-187.9)+(411*(C15/C10)-47.3))*(3500/C10)^0.35)+(G25*G40)</f>
        <v>6367460.823391336</v>
      </c>
      <c r="D71" s="29" t="s">
        <v>619</v>
      </c>
    </row>
    <row r="72" spans="1:9" x14ac:dyDescent="0.2">
      <c r="A72" s="27"/>
      <c r="B72" s="29"/>
      <c r="C72" s="35"/>
      <c r="D72" s="26"/>
      <c r="I72" s="24"/>
    </row>
  </sheetData>
  <mergeCells count="4">
    <mergeCell ref="A3:I3"/>
    <mergeCell ref="A4:I4"/>
    <mergeCell ref="A5:I5"/>
    <mergeCell ref="A53:C53"/>
  </mergeCells>
  <pageMargins left="0.7" right="0.7" top="0.75" bottom="0.75" header="0.3" footer="0.3"/>
  <pageSetup scale="63" fitToHeight="2" orientation="portrait" horizontalDpi="300" verticalDpi="300" r:id="rId1"/>
  <headerFooter alignWithMargins="0">
    <oddHeader>&amp;C
NOx BACT Analysis
Based on EPA Algorithms for Traditional SCR</oddHeader>
  </headerFooter>
  <rowBreaks count="1" manualBreakCount="1">
    <brk id="58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69"/>
  <sheetViews>
    <sheetView showGridLines="0" view="pageLayout" topLeftCell="A56" zoomScaleNormal="70" zoomScaleSheetLayoutView="100" workbookViewId="0">
      <selection activeCell="D77" sqref="D77"/>
    </sheetView>
  </sheetViews>
  <sheetFormatPr defaultColWidth="9.140625" defaultRowHeight="15" x14ac:dyDescent="0.25"/>
  <cols>
    <col min="1" max="1" width="42" style="718" customWidth="1"/>
    <col min="2" max="2" width="17.140625" style="719" customWidth="1"/>
    <col min="3" max="3" width="14.5703125" style="719" customWidth="1"/>
    <col min="4" max="4" width="11.5703125" style="719" customWidth="1"/>
    <col min="5" max="5" width="12.42578125" style="719" customWidth="1"/>
    <col min="6" max="6" width="24.5703125" style="719" customWidth="1"/>
    <col min="7" max="7" width="48.7109375" style="716" customWidth="1"/>
    <col min="8" max="8" width="12.42578125" style="719" customWidth="1"/>
    <col min="9" max="9" width="12.42578125" style="718" hidden="1" customWidth="1"/>
    <col min="10" max="10" width="12.42578125" style="719" hidden="1" customWidth="1"/>
    <col min="11" max="11" width="17.42578125" style="719" hidden="1" customWidth="1"/>
    <col min="12" max="12" width="12.42578125" style="718" hidden="1" customWidth="1"/>
    <col min="13" max="13" width="30.28515625" style="718" hidden="1" customWidth="1"/>
    <col min="14" max="16384" width="9.140625" style="718"/>
  </cols>
  <sheetData>
    <row r="1" spans="1:13" ht="18.75" x14ac:dyDescent="0.3">
      <c r="A1" s="975" t="s">
        <v>428</v>
      </c>
      <c r="B1" s="975"/>
      <c r="C1" s="975"/>
      <c r="D1" s="975"/>
      <c r="E1" s="975"/>
      <c r="F1" s="975"/>
      <c r="G1" s="975"/>
      <c r="H1" s="717"/>
      <c r="I1" s="717"/>
      <c r="J1" s="717"/>
      <c r="K1" s="717"/>
      <c r="L1" s="717"/>
      <c r="M1" s="717"/>
    </row>
    <row r="2" spans="1:13" ht="18.75" x14ac:dyDescent="0.3">
      <c r="A2" s="975" t="s">
        <v>655</v>
      </c>
      <c r="B2" s="975"/>
      <c r="C2" s="975"/>
      <c r="D2" s="975"/>
      <c r="E2" s="975"/>
      <c r="F2" s="975"/>
      <c r="G2" s="975"/>
      <c r="H2" s="717"/>
      <c r="I2" s="717"/>
      <c r="J2" s="717"/>
      <c r="K2" s="717"/>
      <c r="L2" s="717"/>
      <c r="M2" s="717"/>
    </row>
    <row r="3" spans="1:13" ht="18.75" x14ac:dyDescent="0.3">
      <c r="A3" s="975" t="s">
        <v>639</v>
      </c>
      <c r="B3" s="975"/>
      <c r="C3" s="975"/>
      <c r="D3" s="975"/>
      <c r="E3" s="975"/>
      <c r="F3" s="975"/>
      <c r="G3" s="975"/>
      <c r="H3" s="717"/>
      <c r="I3" s="717"/>
      <c r="J3" s="717"/>
      <c r="K3" s="717"/>
      <c r="L3" s="717"/>
      <c r="M3" s="717"/>
    </row>
    <row r="4" spans="1:13" s="312" customFormat="1" ht="8.25" customHeight="1" x14ac:dyDescent="0.25">
      <c r="G4" s="716"/>
    </row>
    <row r="5" spans="1:13" s="312" customFormat="1" ht="19.5" thickBot="1" x14ac:dyDescent="0.35">
      <c r="A5" s="721" t="s">
        <v>429</v>
      </c>
      <c r="B5" s="722"/>
      <c r="C5" s="722"/>
      <c r="D5" s="722"/>
      <c r="E5" s="722"/>
      <c r="F5" s="722"/>
      <c r="G5" s="873"/>
      <c r="M5" s="717"/>
    </row>
    <row r="6" spans="1:13" s="876" customFormat="1" ht="15.75" thickTop="1" x14ac:dyDescent="0.25">
      <c r="A6" s="718"/>
      <c r="B6" s="874"/>
      <c r="C6" s="875"/>
      <c r="E6" s="877"/>
      <c r="F6" s="877"/>
      <c r="G6" s="716"/>
      <c r="H6" s="719"/>
      <c r="M6" s="757"/>
    </row>
    <row r="7" spans="1:13" s="312" customFormat="1" ht="30" x14ac:dyDescent="0.25">
      <c r="A7" s="766" t="s">
        <v>430</v>
      </c>
      <c r="B7" s="701" t="s">
        <v>431</v>
      </c>
      <c r="C7" s="878" t="s">
        <v>432</v>
      </c>
      <c r="D7" s="879" t="s">
        <v>433</v>
      </c>
      <c r="E7" s="880" t="s">
        <v>434</v>
      </c>
      <c r="F7" s="881"/>
      <c r="G7" s="879" t="s">
        <v>435</v>
      </c>
      <c r="H7" s="719"/>
      <c r="I7" s="740" t="s">
        <v>436</v>
      </c>
      <c r="J7" s="741" t="s">
        <v>437</v>
      </c>
      <c r="K7" s="741" t="s">
        <v>438</v>
      </c>
      <c r="L7" s="741" t="s">
        <v>439</v>
      </c>
      <c r="M7" s="742" t="s">
        <v>395</v>
      </c>
    </row>
    <row r="8" spans="1:13" s="312" customFormat="1" x14ac:dyDescent="0.25">
      <c r="G8" s="716"/>
      <c r="M8" s="882"/>
    </row>
    <row r="9" spans="1:13" s="312" customFormat="1" x14ac:dyDescent="0.25">
      <c r="A9" s="972" t="s">
        <v>440</v>
      </c>
      <c r="B9" s="973"/>
      <c r="C9" s="973"/>
      <c r="D9" s="973"/>
      <c r="E9" s="973"/>
      <c r="F9" s="973"/>
      <c r="G9" s="974"/>
      <c r="H9" s="719"/>
      <c r="M9" s="882"/>
    </row>
    <row r="10" spans="1:13" ht="18.75" x14ac:dyDescent="0.25">
      <c r="A10" s="883" t="s">
        <v>441</v>
      </c>
      <c r="B10" s="859"/>
      <c r="C10" s="859"/>
      <c r="D10" s="859"/>
      <c r="E10" s="859"/>
      <c r="F10" s="859"/>
      <c r="G10" s="867"/>
      <c r="I10" s="338"/>
      <c r="J10" s="809"/>
      <c r="K10" s="810"/>
      <c r="L10" s="811"/>
      <c r="M10" s="342"/>
    </row>
    <row r="11" spans="1:13" x14ac:dyDescent="0.25">
      <c r="A11" s="884" t="s">
        <v>442</v>
      </c>
      <c r="B11" s="850">
        <v>7800000</v>
      </c>
      <c r="C11" s="885"/>
      <c r="D11" s="818" t="s">
        <v>443</v>
      </c>
      <c r="E11" s="851" t="s">
        <v>1</v>
      </c>
      <c r="F11" s="348"/>
      <c r="G11" s="709" t="s">
        <v>641</v>
      </c>
      <c r="I11" s="350"/>
      <c r="J11" s="803">
        <f>B11</f>
        <v>7800000</v>
      </c>
      <c r="K11" s="831" t="s">
        <v>445</v>
      </c>
      <c r="L11" s="804" t="b">
        <f>IF(B11="","Req'd")</f>
        <v>0</v>
      </c>
      <c r="M11" s="354" t="s">
        <v>446</v>
      </c>
    </row>
    <row r="12" spans="1:13" x14ac:dyDescent="0.25">
      <c r="A12" s="355" t="s">
        <v>447</v>
      </c>
      <c r="B12" s="785">
        <v>0</v>
      </c>
      <c r="C12" s="767"/>
      <c r="D12" s="816" t="s">
        <v>443</v>
      </c>
      <c r="E12" s="827" t="s">
        <v>79</v>
      </c>
      <c r="F12" s="360"/>
      <c r="G12" s="709" t="s">
        <v>602</v>
      </c>
      <c r="I12" s="361"/>
      <c r="J12" s="812">
        <f>IF(ISNUMBER(B12),B12,C12)</f>
        <v>0</v>
      </c>
      <c r="K12" s="834" t="s">
        <v>445</v>
      </c>
      <c r="L12" s="804" t="b">
        <f>IF(B12="","Req'd")</f>
        <v>0</v>
      </c>
      <c r="M12" s="354" t="s">
        <v>446</v>
      </c>
    </row>
    <row r="13" spans="1:13" x14ac:dyDescent="0.25">
      <c r="A13" s="355" t="s">
        <v>448</v>
      </c>
      <c r="B13" s="785"/>
      <c r="C13" s="797">
        <f>D13*B11</f>
        <v>0</v>
      </c>
      <c r="D13" s="816">
        <v>0</v>
      </c>
      <c r="E13" s="827" t="str">
        <f>"C = "&amp;TEXT(D13,"0.00")&amp;" x A"</f>
        <v>C = 0.00 x A</v>
      </c>
      <c r="F13" s="360"/>
      <c r="G13" s="709" t="s">
        <v>602</v>
      </c>
      <c r="I13" s="350"/>
      <c r="J13" s="802">
        <f>IF(ISNUMBER(B13),B13,C13)</f>
        <v>0</v>
      </c>
      <c r="K13" s="831" t="s">
        <v>445</v>
      </c>
      <c r="L13" s="804"/>
      <c r="M13" s="354"/>
    </row>
    <row r="14" spans="1:13" x14ac:dyDescent="0.25">
      <c r="A14" s="355" t="s">
        <v>450</v>
      </c>
      <c r="B14" s="785"/>
      <c r="C14" s="797">
        <f>D14*(B11+B12)</f>
        <v>390000</v>
      </c>
      <c r="D14" s="816">
        <v>0.05</v>
      </c>
      <c r="E14" s="827" t="str">
        <f>"D = "&amp;TEXT(D14,"0.00")&amp;" x (A+B)"</f>
        <v>D = 0.05 x (A+B)</v>
      </c>
      <c r="F14" s="360"/>
      <c r="G14" s="709" t="s">
        <v>642</v>
      </c>
      <c r="I14" s="350"/>
      <c r="J14" s="802">
        <f>IF(ISNUMBER(B14),B14,C14)</f>
        <v>390000</v>
      </c>
      <c r="K14" s="831" t="s">
        <v>445</v>
      </c>
      <c r="L14" s="804"/>
      <c r="M14" s="354"/>
    </row>
    <row r="15" spans="1:13" x14ac:dyDescent="0.25">
      <c r="A15" s="355" t="s">
        <v>451</v>
      </c>
      <c r="B15" s="786"/>
      <c r="C15" s="797">
        <f>D15*SUM(J11:J13)</f>
        <v>0</v>
      </c>
      <c r="D15" s="826">
        <v>0</v>
      </c>
      <c r="E15" s="827" t="s">
        <v>452</v>
      </c>
      <c r="F15" s="360"/>
      <c r="G15" s="863" t="s">
        <v>453</v>
      </c>
      <c r="I15" s="350"/>
      <c r="J15" s="802">
        <f>IF(ISNUMBER(B15),B15,C15)</f>
        <v>0</v>
      </c>
      <c r="K15" s="831" t="s">
        <v>445</v>
      </c>
      <c r="L15" s="804"/>
      <c r="M15" s="354"/>
    </row>
    <row r="16" spans="1:13" x14ac:dyDescent="0.25">
      <c r="A16" s="886" t="s">
        <v>454</v>
      </c>
      <c r="B16" s="887">
        <f>J16</f>
        <v>8190000</v>
      </c>
      <c r="C16" s="888"/>
      <c r="D16" s="821" t="s">
        <v>443</v>
      </c>
      <c r="E16" s="374" t="s">
        <v>455</v>
      </c>
      <c r="F16" s="375"/>
      <c r="G16" s="889"/>
      <c r="I16" s="377"/>
      <c r="J16" s="807">
        <f>SUM(J11:J15)</f>
        <v>8190000</v>
      </c>
      <c r="K16" s="835" t="s">
        <v>445</v>
      </c>
      <c r="L16" s="808"/>
      <c r="M16" s="381"/>
    </row>
    <row r="17" spans="1:13" x14ac:dyDescent="0.25">
      <c r="A17" s="883" t="s">
        <v>456</v>
      </c>
      <c r="B17" s="856"/>
      <c r="C17" s="857"/>
      <c r="D17" s="821"/>
      <c r="E17" s="384"/>
      <c r="F17" s="384"/>
      <c r="G17" s="890"/>
      <c r="I17" s="338"/>
      <c r="J17" s="809"/>
      <c r="K17" s="810"/>
      <c r="L17" s="811"/>
      <c r="M17" s="342"/>
    </row>
    <row r="18" spans="1:13" x14ac:dyDescent="0.25">
      <c r="A18" s="884" t="s">
        <v>457</v>
      </c>
      <c r="B18" s="850"/>
      <c r="C18" s="815">
        <f t="shared" ref="C18:C23" si="0">D18*$B$16</f>
        <v>819000</v>
      </c>
      <c r="D18" s="818">
        <v>0.1</v>
      </c>
      <c r="E18" s="705" t="str">
        <f t="shared" ref="E18:E23" si="1">TEXT(D18,"0.00")&amp;" x PE"</f>
        <v>0.10 x PE</v>
      </c>
      <c r="F18" s="704"/>
      <c r="G18" s="707" t="s">
        <v>643</v>
      </c>
      <c r="I18" s="350"/>
      <c r="J18" s="802">
        <f t="shared" ref="J18:J23" si="2">IF(ISNUMBER(B18),B18,C18)</f>
        <v>819000</v>
      </c>
      <c r="K18" s="831" t="s">
        <v>445</v>
      </c>
      <c r="L18" s="804"/>
      <c r="M18" s="354"/>
    </row>
    <row r="19" spans="1:13" x14ac:dyDescent="0.25">
      <c r="A19" s="355" t="s">
        <v>458</v>
      </c>
      <c r="B19" s="785"/>
      <c r="C19" s="797">
        <f t="shared" si="0"/>
        <v>2866500</v>
      </c>
      <c r="D19" s="816">
        <v>0.35</v>
      </c>
      <c r="E19" s="703" t="str">
        <f t="shared" si="1"/>
        <v>0.35 x PE</v>
      </c>
      <c r="F19" s="702"/>
      <c r="G19" s="709" t="s">
        <v>644</v>
      </c>
      <c r="I19" s="350"/>
      <c r="J19" s="802">
        <f t="shared" si="2"/>
        <v>2866500</v>
      </c>
      <c r="K19" s="831" t="s">
        <v>445</v>
      </c>
      <c r="L19" s="804"/>
      <c r="M19" s="354"/>
    </row>
    <row r="20" spans="1:13" x14ac:dyDescent="0.25">
      <c r="A20" s="355" t="s">
        <v>459</v>
      </c>
      <c r="B20" s="785"/>
      <c r="C20" s="797">
        <f t="shared" si="0"/>
        <v>491400</v>
      </c>
      <c r="D20" s="816">
        <v>0.06</v>
      </c>
      <c r="E20" s="703" t="str">
        <f t="shared" si="1"/>
        <v>0.06 x PE</v>
      </c>
      <c r="F20" s="702"/>
      <c r="G20" s="709" t="s">
        <v>645</v>
      </c>
      <c r="I20" s="350"/>
      <c r="J20" s="802">
        <f>IF(ISNUMBER(B20),B20,C20)</f>
        <v>491400</v>
      </c>
      <c r="K20" s="831" t="s">
        <v>445</v>
      </c>
      <c r="L20" s="804"/>
      <c r="M20" s="354"/>
    </row>
    <row r="21" spans="1:13" x14ac:dyDescent="0.25">
      <c r="A21" s="355" t="s">
        <v>460</v>
      </c>
      <c r="B21" s="785"/>
      <c r="C21" s="797">
        <f t="shared" si="0"/>
        <v>655200</v>
      </c>
      <c r="D21" s="816">
        <v>0.08</v>
      </c>
      <c r="E21" s="703" t="str">
        <f t="shared" si="1"/>
        <v>0.08 x PE</v>
      </c>
      <c r="F21" s="702"/>
      <c r="G21" s="709" t="s">
        <v>646</v>
      </c>
      <c r="I21" s="350"/>
      <c r="J21" s="802">
        <f t="shared" si="2"/>
        <v>655200</v>
      </c>
      <c r="K21" s="831" t="s">
        <v>445</v>
      </c>
      <c r="L21" s="804"/>
      <c r="M21" s="354"/>
    </row>
    <row r="22" spans="1:13" x14ac:dyDescent="0.25">
      <c r="A22" s="355" t="s">
        <v>461</v>
      </c>
      <c r="B22" s="785"/>
      <c r="C22" s="797">
        <f t="shared" si="0"/>
        <v>163800</v>
      </c>
      <c r="D22" s="816">
        <v>0.02</v>
      </c>
      <c r="E22" s="703" t="str">
        <f t="shared" si="1"/>
        <v>0.02 x PE</v>
      </c>
      <c r="F22" s="702"/>
      <c r="G22" s="709" t="s">
        <v>647</v>
      </c>
      <c r="I22" s="350"/>
      <c r="J22" s="802">
        <f t="shared" si="2"/>
        <v>163800</v>
      </c>
      <c r="K22" s="831" t="s">
        <v>445</v>
      </c>
      <c r="L22" s="804"/>
      <c r="M22" s="354"/>
    </row>
    <row r="23" spans="1:13" x14ac:dyDescent="0.25">
      <c r="A23" s="355" t="s">
        <v>462</v>
      </c>
      <c r="B23" s="785"/>
      <c r="C23" s="797">
        <f t="shared" si="0"/>
        <v>327600</v>
      </c>
      <c r="D23" s="816">
        <v>0.04</v>
      </c>
      <c r="E23" s="703" t="str">
        <f t="shared" si="1"/>
        <v>0.04 x PE</v>
      </c>
      <c r="F23" s="702"/>
      <c r="G23" s="709" t="s">
        <v>648</v>
      </c>
      <c r="I23" s="350"/>
      <c r="J23" s="802">
        <f t="shared" si="2"/>
        <v>327600</v>
      </c>
      <c r="K23" s="831" t="s">
        <v>445</v>
      </c>
      <c r="L23" s="804"/>
      <c r="M23" s="354"/>
    </row>
    <row r="24" spans="1:13" x14ac:dyDescent="0.25">
      <c r="A24" s="355" t="s">
        <v>463</v>
      </c>
      <c r="B24" s="786">
        <v>45000</v>
      </c>
      <c r="C24" s="797"/>
      <c r="D24" s="816" t="s">
        <v>443</v>
      </c>
      <c r="E24" s="708" t="s">
        <v>649</v>
      </c>
      <c r="F24" s="706"/>
      <c r="G24" s="709" t="s">
        <v>641</v>
      </c>
      <c r="I24" s="391"/>
      <c r="J24" s="805">
        <f>B24</f>
        <v>45000</v>
      </c>
      <c r="K24" s="832" t="s">
        <v>445</v>
      </c>
      <c r="L24" s="806" t="b">
        <f>IF(B24="","Req'd")</f>
        <v>0</v>
      </c>
      <c r="M24" s="395"/>
    </row>
    <row r="25" spans="1:13" x14ac:dyDescent="0.25">
      <c r="A25" s="891" t="s">
        <v>465</v>
      </c>
      <c r="B25" s="887">
        <f>J25</f>
        <v>5368500</v>
      </c>
      <c r="C25" s="892"/>
      <c r="D25" s="821" t="s">
        <v>443</v>
      </c>
      <c r="E25" s="398" t="s">
        <v>466</v>
      </c>
      <c r="F25" s="399"/>
      <c r="G25" s="889"/>
      <c r="I25" s="400"/>
      <c r="J25" s="800">
        <f>SUM(J18:J24)</f>
        <v>5368500</v>
      </c>
      <c r="K25" s="833" t="s">
        <v>445</v>
      </c>
      <c r="L25" s="801"/>
      <c r="M25" s="404"/>
    </row>
    <row r="26" spans="1:13" s="312" customFormat="1" x14ac:dyDescent="0.25">
      <c r="A26" s="764" t="s">
        <v>467</v>
      </c>
      <c r="B26" s="813">
        <f>B25+B16</f>
        <v>13558500</v>
      </c>
      <c r="C26" s="893"/>
      <c r="D26" s="822" t="s">
        <v>443</v>
      </c>
      <c r="E26" s="814" t="s">
        <v>468</v>
      </c>
      <c r="F26" s="410"/>
      <c r="G26" s="889"/>
      <c r="H26" s="718"/>
      <c r="I26" s="411"/>
      <c r="J26" s="750">
        <f>SUM(J16,J25)</f>
        <v>13558500</v>
      </c>
      <c r="K26" s="830" t="s">
        <v>445</v>
      </c>
      <c r="L26" s="775"/>
      <c r="M26" s="415"/>
    </row>
    <row r="27" spans="1:13" x14ac:dyDescent="0.25">
      <c r="A27" s="894"/>
      <c r="B27" s="794"/>
      <c r="C27" s="795"/>
      <c r="D27" s="817"/>
      <c r="E27" s="420"/>
      <c r="F27" s="420"/>
      <c r="I27" s="421"/>
      <c r="J27" s="796"/>
      <c r="K27" s="793"/>
      <c r="L27" s="728"/>
      <c r="M27" s="425"/>
    </row>
    <row r="28" spans="1:13" s="312" customFormat="1" x14ac:dyDescent="0.25">
      <c r="A28" s="972" t="s">
        <v>469</v>
      </c>
      <c r="B28" s="973"/>
      <c r="C28" s="973"/>
      <c r="D28" s="973"/>
      <c r="E28" s="973"/>
      <c r="F28" s="973"/>
      <c r="G28" s="974"/>
      <c r="H28" s="719"/>
      <c r="M28" s="882"/>
    </row>
    <row r="29" spans="1:13" s="312" customFormat="1" x14ac:dyDescent="0.25">
      <c r="A29" s="895" t="s">
        <v>470</v>
      </c>
      <c r="B29" s="846"/>
      <c r="C29" s="846"/>
      <c r="D29" s="822"/>
      <c r="E29" s="639"/>
      <c r="F29" s="639"/>
      <c r="G29" s="896"/>
      <c r="H29" s="719"/>
      <c r="M29" s="882"/>
    </row>
    <row r="30" spans="1:13" s="312" customFormat="1" x14ac:dyDescent="0.25">
      <c r="A30" s="884" t="s">
        <v>471</v>
      </c>
      <c r="B30" s="799"/>
      <c r="C30" s="815">
        <f>D30*$B$16</f>
        <v>1228500</v>
      </c>
      <c r="D30" s="818">
        <v>0.15</v>
      </c>
      <c r="E30" s="387" t="str">
        <f>TEXT(D30,"0.00")&amp;" x PE"</f>
        <v>0.15 x PE</v>
      </c>
      <c r="F30" s="348"/>
      <c r="G30" s="864" t="s">
        <v>650</v>
      </c>
      <c r="H30" s="719"/>
      <c r="I30" s="411"/>
      <c r="J30" s="751">
        <f>IF(ISNUMBER(B30),B30,C30)</f>
        <v>1228500</v>
      </c>
      <c r="K30" s="830" t="s">
        <v>445</v>
      </c>
      <c r="L30" s="769" t="b">
        <v>0</v>
      </c>
      <c r="M30" s="415"/>
    </row>
    <row r="31" spans="1:13" s="312" customFormat="1" x14ac:dyDescent="0.25">
      <c r="A31" s="884" t="s">
        <v>472</v>
      </c>
      <c r="B31" s="799"/>
      <c r="C31" s="815">
        <f>D31*$B$16</f>
        <v>819000</v>
      </c>
      <c r="D31" s="818">
        <v>0.1</v>
      </c>
      <c r="E31" s="387" t="str">
        <f>TEXT(D31,"0.00")&amp;" x PE"</f>
        <v>0.10 x PE</v>
      </c>
      <c r="F31" s="348"/>
      <c r="G31" s="709" t="s">
        <v>651</v>
      </c>
      <c r="H31" s="719"/>
      <c r="I31" s="411"/>
      <c r="J31" s="751">
        <f>IF(ISNUMBER(B31),B31,C31)</f>
        <v>819000</v>
      </c>
      <c r="K31" s="830" t="s">
        <v>445</v>
      </c>
      <c r="L31" s="769" t="b">
        <v>0</v>
      </c>
      <c r="M31" s="415"/>
    </row>
    <row r="32" spans="1:13" s="312" customFormat="1" x14ac:dyDescent="0.25">
      <c r="A32" s="884" t="s">
        <v>473</v>
      </c>
      <c r="B32" s="799"/>
      <c r="C32" s="815">
        <f>D32*$B$16</f>
        <v>409500</v>
      </c>
      <c r="D32" s="818">
        <v>0.05</v>
      </c>
      <c r="E32" s="387" t="str">
        <f>TEXT(D32,"0.00")&amp;" x PE"</f>
        <v>0.05 x PE</v>
      </c>
      <c r="F32" s="348"/>
      <c r="G32" s="709" t="s">
        <v>652</v>
      </c>
      <c r="H32" s="719"/>
      <c r="I32" s="411"/>
      <c r="J32" s="751">
        <f>IF(ISNUMBER(B32),B32,C32)</f>
        <v>409500</v>
      </c>
      <c r="K32" s="830" t="s">
        <v>445</v>
      </c>
      <c r="L32" s="769" t="b">
        <v>0</v>
      </c>
      <c r="M32" s="415"/>
    </row>
    <row r="33" spans="1:13" s="312" customFormat="1" x14ac:dyDescent="0.25">
      <c r="A33" s="355" t="s">
        <v>474</v>
      </c>
      <c r="B33" s="776"/>
      <c r="C33" s="797">
        <f>D33*$B$16</f>
        <v>81900</v>
      </c>
      <c r="D33" s="816">
        <v>0.01</v>
      </c>
      <c r="E33" s="388" t="str">
        <f>TEXT(D33,"0.00")&amp;" x PE"</f>
        <v>0.01 x PE</v>
      </c>
      <c r="F33" s="360"/>
      <c r="G33" s="709" t="s">
        <v>653</v>
      </c>
      <c r="H33" s="719"/>
      <c r="I33" s="411"/>
      <c r="J33" s="751">
        <f>IF(ISNUMBER(B33),B33,C33)</f>
        <v>81900</v>
      </c>
      <c r="K33" s="830" t="s">
        <v>445</v>
      </c>
      <c r="L33" s="769" t="b">
        <v>0</v>
      </c>
      <c r="M33" s="415"/>
    </row>
    <row r="34" spans="1:13" s="312" customFormat="1" x14ac:dyDescent="0.25">
      <c r="A34" s="897" t="s">
        <v>475</v>
      </c>
      <c r="B34" s="777"/>
      <c r="C34" s="798">
        <f>D34*$B$16</f>
        <v>81900</v>
      </c>
      <c r="D34" s="819">
        <v>0.01</v>
      </c>
      <c r="E34" s="438" t="str">
        <f>TEXT(D34,"0.00")&amp;" x PE"</f>
        <v>0.01 x PE</v>
      </c>
      <c r="F34" s="439"/>
      <c r="G34" s="710" t="s">
        <v>654</v>
      </c>
      <c r="H34" s="719"/>
      <c r="I34" s="411"/>
      <c r="J34" s="751">
        <f>IF(ISNUMBER(B34),B34,C34)</f>
        <v>81900</v>
      </c>
      <c r="K34" s="830" t="s">
        <v>445</v>
      </c>
      <c r="L34" s="769" t="b">
        <v>0</v>
      </c>
      <c r="M34" s="415"/>
    </row>
    <row r="35" spans="1:13" s="312" customFormat="1" x14ac:dyDescent="0.25">
      <c r="A35" s="764" t="s">
        <v>476</v>
      </c>
      <c r="B35" s="765">
        <f>J35</f>
        <v>2620800</v>
      </c>
      <c r="C35" s="898"/>
      <c r="D35" s="442" t="s">
        <v>443</v>
      </c>
      <c r="E35" s="443" t="s">
        <v>477</v>
      </c>
      <c r="F35" s="444"/>
      <c r="G35" s="889"/>
      <c r="H35" s="719"/>
      <c r="I35" s="411"/>
      <c r="J35" s="750">
        <f>SUM(J30:J34)</f>
        <v>2620800</v>
      </c>
      <c r="K35" s="830" t="s">
        <v>445</v>
      </c>
      <c r="L35" s="769"/>
      <c r="M35" s="415"/>
    </row>
    <row r="36" spans="1:13" s="312" customFormat="1" x14ac:dyDescent="0.25">
      <c r="G36" s="899"/>
    </row>
    <row r="37" spans="1:13" s="312" customFormat="1" x14ac:dyDescent="0.25">
      <c r="A37" s="895" t="s">
        <v>478</v>
      </c>
      <c r="B37" s="846"/>
      <c r="C37" s="846"/>
      <c r="D37" s="822"/>
      <c r="E37" s="639"/>
      <c r="F37" s="639"/>
      <c r="G37" s="896"/>
      <c r="H37" s="719"/>
      <c r="M37" s="882"/>
    </row>
    <row r="38" spans="1:13" s="720" customFormat="1" x14ac:dyDescent="0.2">
      <c r="A38" s="446" t="s">
        <v>77</v>
      </c>
      <c r="B38" s="900"/>
      <c r="C38" s="943">
        <f>D38*(B26+B35)</f>
        <v>2426895</v>
      </c>
      <c r="D38" s="712">
        <v>0.15</v>
      </c>
      <c r="E38" s="450" t="str">
        <f>"E = "&amp;TEXT(D38,"0.00") &amp;" x (DC+IC)"</f>
        <v>E = 0.15 x (DC+IC)</v>
      </c>
      <c r="F38" s="451"/>
      <c r="G38" s="864" t="s">
        <v>479</v>
      </c>
      <c r="I38" s="454"/>
      <c r="J38" s="751">
        <f>IF(ISNUMBER(B38),B38,C38)</f>
        <v>2426895</v>
      </c>
      <c r="K38" s="830" t="s">
        <v>445</v>
      </c>
      <c r="L38" s="769"/>
      <c r="M38" s="791"/>
    </row>
    <row r="39" spans="1:13" s="720" customFormat="1" x14ac:dyDescent="0.2">
      <c r="A39" s="446" t="s">
        <v>86</v>
      </c>
      <c r="B39" s="900"/>
      <c r="C39" s="901">
        <f>D39*SUM(B26,B35,J38)</f>
        <v>372123.9</v>
      </c>
      <c r="D39" s="712">
        <v>0.02</v>
      </c>
      <c r="E39" s="837" t="str">
        <f>"F = "&amp;TEXT(D39,"0.00")&amp;" x (DC+IC+Cont)"</f>
        <v>F = 0.02 x (DC+IC+Cont)</v>
      </c>
      <c r="F39" s="457"/>
      <c r="G39" s="862" t="s">
        <v>480</v>
      </c>
      <c r="I39" s="454"/>
      <c r="J39" s="751">
        <f>IF(ISNUMBER(B39),B39,C39)</f>
        <v>372123.9</v>
      </c>
      <c r="K39" s="830" t="s">
        <v>445</v>
      </c>
      <c r="L39" s="769"/>
      <c r="M39" s="791"/>
    </row>
    <row r="40" spans="1:13" s="720" customFormat="1" x14ac:dyDescent="0.2">
      <c r="A40" s="458" t="s">
        <v>481</v>
      </c>
      <c r="B40" s="825"/>
      <c r="C40" s="904">
        <f>J135*J134</f>
        <v>11035.334990116005</v>
      </c>
      <c r="D40" s="711" t="s">
        <v>443</v>
      </c>
      <c r="E40" s="829" t="s">
        <v>482</v>
      </c>
      <c r="F40" s="463"/>
      <c r="G40" s="861" t="s">
        <v>483</v>
      </c>
      <c r="I40" s="454"/>
      <c r="J40" s="751">
        <f>IF(ISNUMBER(B40),B40,C40)</f>
        <v>11035.334990116005</v>
      </c>
      <c r="K40" s="830" t="s">
        <v>445</v>
      </c>
      <c r="L40" s="769"/>
      <c r="M40" s="465" t="s">
        <v>484</v>
      </c>
    </row>
    <row r="41" spans="1:13" s="720" customFormat="1" ht="15.75" customHeight="1" x14ac:dyDescent="0.25">
      <c r="A41" s="733" t="s">
        <v>43</v>
      </c>
      <c r="B41" s="753">
        <f>J41</f>
        <v>18989354.234990116</v>
      </c>
      <c r="C41" s="906"/>
      <c r="D41" s="461" t="s">
        <v>443</v>
      </c>
      <c r="E41" s="828" t="s">
        <v>485</v>
      </c>
      <c r="F41" s="734"/>
      <c r="G41" s="889"/>
      <c r="I41" s="454"/>
      <c r="J41" s="750">
        <f>SUM(J26,J35,J38,J39,J40)</f>
        <v>18989354.234990116</v>
      </c>
      <c r="K41" s="830" t="s">
        <v>445</v>
      </c>
      <c r="L41" s="769"/>
      <c r="M41" s="791"/>
    </row>
    <row r="42" spans="1:13" x14ac:dyDescent="0.25">
      <c r="D42" s="820"/>
      <c r="I42" s="312"/>
      <c r="J42" s="312"/>
      <c r="K42" s="312"/>
      <c r="L42" s="312"/>
      <c r="M42" s="882"/>
    </row>
    <row r="43" spans="1:13" s="312" customFormat="1" x14ac:dyDescent="0.25">
      <c r="A43" s="972" t="s">
        <v>486</v>
      </c>
      <c r="B43" s="973"/>
      <c r="C43" s="973"/>
      <c r="D43" s="973"/>
      <c r="E43" s="973"/>
      <c r="F43" s="973"/>
      <c r="G43" s="974"/>
      <c r="H43" s="473"/>
      <c r="M43" s="882"/>
    </row>
    <row r="44" spans="1:13" s="312" customFormat="1" x14ac:dyDescent="0.25">
      <c r="A44" s="895" t="s">
        <v>487</v>
      </c>
      <c r="B44" s="639"/>
      <c r="C44" s="639"/>
      <c r="D44" s="475"/>
      <c r="E44" s="639"/>
      <c r="F44" s="639"/>
      <c r="G44" s="896"/>
      <c r="H44" s="719"/>
      <c r="M44" s="882"/>
    </row>
    <row r="45" spans="1:13" s="720" customFormat="1" ht="30" x14ac:dyDescent="0.25">
      <c r="A45" s="476" t="s">
        <v>3</v>
      </c>
      <c r="B45" s="900"/>
      <c r="C45" s="946"/>
      <c r="D45" s="947" t="s">
        <v>443</v>
      </c>
      <c r="E45" s="948"/>
      <c r="F45" s="949"/>
      <c r="G45" s="958" t="s">
        <v>662</v>
      </c>
      <c r="I45" s="454"/>
      <c r="J45" s="751">
        <f t="shared" ref="J45:J54" si="3">IF(ISNUMBER(B45),B45,C45)</f>
        <v>0</v>
      </c>
      <c r="K45" s="751"/>
      <c r="L45" s="804" t="str">
        <f>IF(B45="","Req'd")</f>
        <v>Req'd</v>
      </c>
      <c r="M45" s="354" t="s">
        <v>446</v>
      </c>
    </row>
    <row r="46" spans="1:13" s="720" customFormat="1" x14ac:dyDescent="0.25">
      <c r="A46" s="482" t="s">
        <v>488</v>
      </c>
      <c r="B46" s="909"/>
      <c r="C46" s="907">
        <f>J45*D46</f>
        <v>0</v>
      </c>
      <c r="D46" s="485">
        <v>0.15</v>
      </c>
      <c r="E46" s="486" t="s">
        <v>489</v>
      </c>
      <c r="F46" s="761"/>
      <c r="G46" s="903" t="s">
        <v>490</v>
      </c>
      <c r="I46" s="454"/>
      <c r="J46" s="751">
        <f t="shared" si="3"/>
        <v>0</v>
      </c>
      <c r="K46" s="751"/>
      <c r="L46" s="769"/>
      <c r="M46" s="354" t="s">
        <v>446</v>
      </c>
    </row>
    <row r="47" spans="1:13" s="720" customFormat="1" x14ac:dyDescent="0.25">
      <c r="A47" s="476" t="s">
        <v>491</v>
      </c>
      <c r="B47" s="900"/>
      <c r="C47" s="907">
        <f>B41*D47</f>
        <v>284840.31352485175</v>
      </c>
      <c r="D47" s="488">
        <v>1.4999999999999999E-2</v>
      </c>
      <c r="E47" s="479" t="str">
        <f>TEXT(D47,"0.000")&amp;" x TCI"</f>
        <v>0.015 x TCI</v>
      </c>
      <c r="F47" s="838"/>
      <c r="G47" s="903" t="s">
        <v>492</v>
      </c>
      <c r="I47" s="454"/>
      <c r="J47" s="751">
        <f t="shared" si="3"/>
        <v>284840.31352485175</v>
      </c>
      <c r="K47" s="751"/>
      <c r="L47" s="769"/>
      <c r="M47" s="791"/>
    </row>
    <row r="48" spans="1:13" s="720" customFormat="1" x14ac:dyDescent="0.25">
      <c r="A48" s="476" t="s">
        <v>493</v>
      </c>
      <c r="B48" s="900"/>
      <c r="C48" s="907">
        <f>J47</f>
        <v>284840.31352485175</v>
      </c>
      <c r="D48" s="485" t="s">
        <v>443</v>
      </c>
      <c r="E48" s="486" t="s">
        <v>494</v>
      </c>
      <c r="F48" s="838"/>
      <c r="G48" s="903" t="s">
        <v>495</v>
      </c>
      <c r="I48" s="454"/>
      <c r="J48" s="751">
        <f t="shared" si="3"/>
        <v>284840.31352485175</v>
      </c>
      <c r="K48" s="751"/>
      <c r="L48" s="769"/>
      <c r="M48" s="791"/>
    </row>
    <row r="49" spans="1:13" x14ac:dyDescent="0.25">
      <c r="A49" s="482" t="s">
        <v>496</v>
      </c>
      <c r="B49" s="909"/>
      <c r="C49" s="907">
        <f>J134*J138*J119</f>
        <v>287706.94795659592</v>
      </c>
      <c r="D49" s="485" t="s">
        <v>443</v>
      </c>
      <c r="E49" s="489" t="s">
        <v>497</v>
      </c>
      <c r="F49" s="761"/>
      <c r="G49" s="910" t="s">
        <v>483</v>
      </c>
      <c r="H49" s="718"/>
      <c r="I49" s="454"/>
      <c r="J49" s="751">
        <f t="shared" si="3"/>
        <v>287706.94795659592</v>
      </c>
      <c r="K49" s="751"/>
      <c r="L49" s="769"/>
      <c r="M49" s="491" t="s">
        <v>498</v>
      </c>
    </row>
    <row r="50" spans="1:13" x14ac:dyDescent="0.25">
      <c r="A50" s="492" t="s">
        <v>499</v>
      </c>
      <c r="B50" s="909"/>
      <c r="C50" s="907">
        <f>J123*J130*J119</f>
        <v>425727.73803243769</v>
      </c>
      <c r="D50" s="485" t="s">
        <v>443</v>
      </c>
      <c r="E50" s="493" t="s">
        <v>483</v>
      </c>
      <c r="F50" s="735"/>
      <c r="G50" s="910" t="s">
        <v>483</v>
      </c>
      <c r="H50" s="718"/>
      <c r="I50" s="772"/>
      <c r="J50" s="751">
        <f t="shared" si="3"/>
        <v>425727.73803243769</v>
      </c>
      <c r="K50" s="751"/>
      <c r="L50" s="769"/>
      <c r="M50" s="491" t="s">
        <v>500</v>
      </c>
    </row>
    <row r="51" spans="1:13" x14ac:dyDescent="0.25">
      <c r="A51" s="482" t="s">
        <v>8</v>
      </c>
      <c r="B51" s="909"/>
      <c r="C51" s="911">
        <f>J150</f>
        <v>212293.24999555541</v>
      </c>
      <c r="D51" s="485" t="s">
        <v>443</v>
      </c>
      <c r="E51" s="489" t="s">
        <v>483</v>
      </c>
      <c r="F51" s="761"/>
      <c r="G51" s="910" t="s">
        <v>483</v>
      </c>
      <c r="H51" s="718"/>
      <c r="I51" s="497"/>
      <c r="J51" s="751">
        <f t="shared" si="3"/>
        <v>212293.24999555541</v>
      </c>
      <c r="K51" s="751"/>
      <c r="L51" s="769"/>
      <c r="M51" s="791"/>
    </row>
    <row r="52" spans="1:13" x14ac:dyDescent="0.25">
      <c r="A52" s="482" t="s">
        <v>501</v>
      </c>
      <c r="B52" s="909"/>
      <c r="C52" s="907">
        <f>J51*D52</f>
        <v>21229.324999555542</v>
      </c>
      <c r="D52" s="485">
        <v>0.1</v>
      </c>
      <c r="E52" s="479" t="str">
        <f>TEXT(D52,"0.000")&amp;" x Cat Repl"</f>
        <v>0.100 x Cat Repl</v>
      </c>
      <c r="F52" s="761"/>
      <c r="G52" s="910" t="s">
        <v>502</v>
      </c>
      <c r="H52" s="718"/>
      <c r="I52" s="497"/>
      <c r="J52" s="751">
        <f t="shared" si="3"/>
        <v>21229.324999555542</v>
      </c>
      <c r="K52" s="751"/>
      <c r="L52" s="852"/>
      <c r="M52" s="853"/>
    </row>
    <row r="53" spans="1:13" x14ac:dyDescent="0.25">
      <c r="A53" s="482" t="s">
        <v>503</v>
      </c>
      <c r="B53" s="909"/>
      <c r="C53" s="950"/>
      <c r="D53" s="951" t="s">
        <v>443</v>
      </c>
      <c r="E53" s="952"/>
      <c r="F53" s="953"/>
      <c r="G53" s="903"/>
      <c r="H53" s="720"/>
      <c r="I53" s="454"/>
      <c r="J53" s="751">
        <f t="shared" si="3"/>
        <v>0</v>
      </c>
      <c r="K53" s="751"/>
      <c r="L53" s="804" t="str">
        <f>IF(B53="","Req'd")</f>
        <v>Req'd</v>
      </c>
      <c r="M53" s="354" t="s">
        <v>446</v>
      </c>
    </row>
    <row r="54" spans="1:13" x14ac:dyDescent="0.25">
      <c r="A54" s="501" t="s">
        <v>504</v>
      </c>
      <c r="B54" s="912"/>
      <c r="C54" s="954"/>
      <c r="D54" s="955" t="s">
        <v>443</v>
      </c>
      <c r="E54" s="956"/>
      <c r="F54" s="957"/>
      <c r="G54" s="914"/>
      <c r="H54" s="720"/>
      <c r="I54" s="454"/>
      <c r="J54" s="751">
        <f t="shared" si="3"/>
        <v>0</v>
      </c>
      <c r="K54" s="751"/>
      <c r="L54" s="804" t="str">
        <f>IF(B54="","Req'd")</f>
        <v>Req'd</v>
      </c>
      <c r="M54" s="354" t="s">
        <v>446</v>
      </c>
    </row>
    <row r="55" spans="1:13" x14ac:dyDescent="0.25">
      <c r="A55" s="733" t="s">
        <v>104</v>
      </c>
      <c r="B55" s="753">
        <f>J55</f>
        <v>1516637.888033848</v>
      </c>
      <c r="C55" s="915"/>
      <c r="D55" s="461" t="s">
        <v>443</v>
      </c>
      <c r="E55" s="749" t="s">
        <v>505</v>
      </c>
      <c r="F55" s="444"/>
      <c r="G55" s="889"/>
      <c r="H55" s="718"/>
      <c r="I55" s="454"/>
      <c r="J55" s="750">
        <f>SUM(J45:J54)</f>
        <v>1516637.888033848</v>
      </c>
      <c r="K55" s="750"/>
      <c r="L55" s="769"/>
      <c r="M55" s="791"/>
    </row>
    <row r="56" spans="1:13" x14ac:dyDescent="0.25">
      <c r="A56" s="731"/>
      <c r="B56" s="840"/>
      <c r="C56" s="840"/>
      <c r="D56" s="512"/>
      <c r="E56" s="841"/>
      <c r="F56" s="514"/>
      <c r="H56" s="718"/>
      <c r="I56" s="515"/>
      <c r="J56" s="793"/>
      <c r="K56" s="793"/>
      <c r="L56" s="728"/>
      <c r="M56" s="842"/>
    </row>
    <row r="57" spans="1:13" s="312" customFormat="1" x14ac:dyDescent="0.25">
      <c r="A57" s="972" t="s">
        <v>106</v>
      </c>
      <c r="B57" s="973"/>
      <c r="C57" s="973"/>
      <c r="D57" s="973"/>
      <c r="E57" s="973"/>
      <c r="F57" s="973"/>
      <c r="G57" s="974"/>
      <c r="H57" s="719"/>
      <c r="M57" s="882"/>
    </row>
    <row r="58" spans="1:13" s="312" customFormat="1" x14ac:dyDescent="0.25">
      <c r="A58" s="895" t="s">
        <v>506</v>
      </c>
      <c r="B58" s="639"/>
      <c r="C58" s="639"/>
      <c r="D58" s="475"/>
      <c r="E58" s="639"/>
      <c r="F58" s="639"/>
      <c r="G58" s="896"/>
      <c r="H58" s="719"/>
      <c r="M58" s="882"/>
    </row>
    <row r="59" spans="1:13" s="720" customFormat="1" x14ac:dyDescent="0.25">
      <c r="A59" s="476" t="s">
        <v>507</v>
      </c>
      <c r="B59" s="858"/>
      <c r="C59" s="907">
        <f>SUM(J45:J48)*D59</f>
        <v>341808.37622982211</v>
      </c>
      <c r="D59" s="488">
        <v>0.6</v>
      </c>
      <c r="E59" s="479" t="str">
        <f>TEXT(D59,"0.000")&amp;" x Op/Super/Maint Labor &amp; Mtls"</f>
        <v>0.600 x Op/Super/Maint Labor &amp; Mtls</v>
      </c>
      <c r="F59" s="838"/>
      <c r="G59" s="902" t="s">
        <v>508</v>
      </c>
      <c r="I59" s="454"/>
      <c r="J59" s="751">
        <f>IF(ISNUMBER(B59),B59,C59)</f>
        <v>341808.37622982211</v>
      </c>
      <c r="K59" s="751"/>
      <c r="L59" s="769"/>
      <c r="M59" s="791"/>
    </row>
    <row r="60" spans="1:13" s="720" customFormat="1" x14ac:dyDescent="0.25">
      <c r="A60" s="482" t="s">
        <v>509</v>
      </c>
      <c r="B60" s="779"/>
      <c r="C60" s="907">
        <f>B41*D60</f>
        <v>189893.54234990117</v>
      </c>
      <c r="D60" s="488">
        <v>0.01</v>
      </c>
      <c r="E60" s="479" t="str">
        <f>TEXT(D60,"0.0000")&amp;" x TCI"</f>
        <v>0.0100 x TCI</v>
      </c>
      <c r="F60" s="838"/>
      <c r="G60" s="903" t="s">
        <v>510</v>
      </c>
      <c r="H60" s="849"/>
      <c r="I60" s="454"/>
      <c r="J60" s="751">
        <f>IF(ISNUMBER(B60),B60,C60)</f>
        <v>189893.54234990117</v>
      </c>
      <c r="K60" s="751"/>
      <c r="L60" s="769"/>
      <c r="M60" s="791"/>
    </row>
    <row r="61" spans="1:13" s="720" customFormat="1" x14ac:dyDescent="0.25">
      <c r="A61" s="476" t="s">
        <v>511</v>
      </c>
      <c r="B61" s="836"/>
      <c r="C61" s="907">
        <f>B41*D61</f>
        <v>189893.54234990117</v>
      </c>
      <c r="D61" s="488">
        <v>0.01</v>
      </c>
      <c r="E61" s="479" t="str">
        <f>TEXT(D61,"0.000")&amp;" x TCI"</f>
        <v>0.010 x TCI</v>
      </c>
      <c r="F61" s="838"/>
      <c r="G61" s="903" t="s">
        <v>510</v>
      </c>
      <c r="I61" s="454"/>
      <c r="J61" s="751">
        <f>IF(ISNUMBER(B61),B61,C61)</f>
        <v>189893.54234990117</v>
      </c>
      <c r="K61" s="751"/>
      <c r="L61" s="769"/>
      <c r="M61" s="791"/>
    </row>
    <row r="62" spans="1:13" x14ac:dyDescent="0.25">
      <c r="A62" s="521" t="s">
        <v>512</v>
      </c>
      <c r="B62" s="780"/>
      <c r="C62" s="913">
        <f>B41*D62</f>
        <v>379787.08469980233</v>
      </c>
      <c r="D62" s="524">
        <v>0.02</v>
      </c>
      <c r="E62" s="505" t="str">
        <f>TEXT(D62,"0.000")&amp;" x TCI"</f>
        <v>0.020 x TCI</v>
      </c>
      <c r="F62" s="763"/>
      <c r="G62" s="914" t="s">
        <v>513</v>
      </c>
      <c r="H62" s="720"/>
      <c r="I62" s="454"/>
      <c r="J62" s="751">
        <f>IF(ISNUMBER(B62),B62,C62)</f>
        <v>379787.08469980233</v>
      </c>
      <c r="K62" s="751"/>
      <c r="L62" s="769"/>
      <c r="M62" s="791"/>
    </row>
    <row r="63" spans="1:13" x14ac:dyDescent="0.25">
      <c r="A63" s="733" t="s">
        <v>514</v>
      </c>
      <c r="B63" s="753">
        <f>J63</f>
        <v>1101382.5456294268</v>
      </c>
      <c r="C63" s="915"/>
      <c r="D63" s="461" t="s">
        <v>443</v>
      </c>
      <c r="E63" s="749" t="s">
        <v>505</v>
      </c>
      <c r="F63" s="444"/>
      <c r="G63" s="889"/>
      <c r="H63" s="718"/>
      <c r="I63" s="454"/>
      <c r="J63" s="750">
        <f>SUM(J59:J62)</f>
        <v>1101382.5456294268</v>
      </c>
      <c r="K63" s="750"/>
      <c r="L63" s="769"/>
      <c r="M63" s="791"/>
    </row>
    <row r="64" spans="1:13" x14ac:dyDescent="0.25">
      <c r="A64" s="731"/>
      <c r="B64" s="840"/>
      <c r="C64" s="840"/>
      <c r="D64" s="512"/>
      <c r="E64" s="841"/>
      <c r="F64" s="514"/>
      <c r="H64" s="718"/>
      <c r="I64" s="515"/>
      <c r="J64" s="793"/>
      <c r="K64" s="793"/>
      <c r="L64" s="728"/>
      <c r="M64" s="842"/>
    </row>
    <row r="65" spans="1:13" x14ac:dyDescent="0.25">
      <c r="A65" s="972" t="s">
        <v>515</v>
      </c>
      <c r="B65" s="973"/>
      <c r="C65" s="973"/>
      <c r="D65" s="973"/>
      <c r="E65" s="973"/>
      <c r="F65" s="973"/>
      <c r="G65" s="974"/>
      <c r="H65" s="312"/>
      <c r="I65" s="312"/>
      <c r="J65" s="312"/>
      <c r="K65" s="312"/>
      <c r="L65" s="312"/>
      <c r="M65" s="882"/>
    </row>
    <row r="66" spans="1:13" x14ac:dyDescent="0.25">
      <c r="A66" s="525" t="s">
        <v>516</v>
      </c>
      <c r="B66" s="778"/>
      <c r="C66" s="916">
        <v>25</v>
      </c>
      <c r="D66" s="528" t="s">
        <v>443</v>
      </c>
      <c r="E66" s="758" t="s">
        <v>517</v>
      </c>
      <c r="F66" s="759"/>
      <c r="G66" s="959" t="s">
        <v>663</v>
      </c>
      <c r="H66" s="312"/>
      <c r="I66" s="771"/>
      <c r="J66" s="533">
        <f>IF(ISNUMBER(B66),B66,C66)</f>
        <v>25</v>
      </c>
      <c r="K66" s="534" t="s">
        <v>518</v>
      </c>
      <c r="L66" s="535" t="b">
        <v>0</v>
      </c>
      <c r="M66" s="415"/>
    </row>
    <row r="67" spans="1:13" ht="45" x14ac:dyDescent="0.25">
      <c r="A67" s="536" t="s">
        <v>31</v>
      </c>
      <c r="B67" s="917">
        <v>3.2500000000000001E-2</v>
      </c>
      <c r="C67" s="918">
        <v>7.0000000000000007E-2</v>
      </c>
      <c r="D67" s="485" t="s">
        <v>443</v>
      </c>
      <c r="E67" s="760" t="s">
        <v>519</v>
      </c>
      <c r="F67" s="761"/>
      <c r="G67" s="903" t="s">
        <v>394</v>
      </c>
      <c r="H67" s="312"/>
      <c r="I67" s="771"/>
      <c r="J67" s="533">
        <f>IF(ISNUMBER(B67),B67,C67)</f>
        <v>3.2500000000000001E-2</v>
      </c>
      <c r="K67" s="534" t="s">
        <v>520</v>
      </c>
      <c r="L67" s="535" t="b">
        <v>0</v>
      </c>
      <c r="M67" s="415"/>
    </row>
    <row r="68" spans="1:13" ht="15" customHeight="1" x14ac:dyDescent="0.25">
      <c r="A68" s="540" t="s">
        <v>122</v>
      </c>
      <c r="B68" s="919">
        <f>J67/(1-(1+J67)^-J66)</f>
        <v>5.9039325274868763E-2</v>
      </c>
      <c r="C68" s="920"/>
      <c r="D68" s="824" t="s">
        <v>443</v>
      </c>
      <c r="E68" s="762" t="s">
        <v>521</v>
      </c>
      <c r="F68" s="763"/>
      <c r="G68" s="905" t="s">
        <v>443</v>
      </c>
      <c r="I68" s="771"/>
      <c r="J68" s="743"/>
      <c r="K68" s="743"/>
      <c r="L68" s="770"/>
      <c r="M68" s="792"/>
    </row>
    <row r="69" spans="1:13" x14ac:dyDescent="0.25">
      <c r="A69" s="732" t="s">
        <v>28</v>
      </c>
      <c r="B69" s="768">
        <f>B68*B41</f>
        <v>1121118.6614392882</v>
      </c>
      <c r="C69" s="921"/>
      <c r="D69" s="461" t="s">
        <v>443</v>
      </c>
      <c r="E69" s="748"/>
      <c r="F69" s="552"/>
      <c r="G69" s="889" t="s">
        <v>522</v>
      </c>
      <c r="H69" s="718"/>
      <c r="I69" s="454"/>
      <c r="J69" s="750">
        <f>IF(ISNUMBER(B69),B69,C69)</f>
        <v>1121118.6614392882</v>
      </c>
      <c r="K69" s="750"/>
      <c r="L69" s="769"/>
      <c r="M69" s="465" t="s">
        <v>523</v>
      </c>
    </row>
    <row r="70" spans="1:13" s="312" customFormat="1" x14ac:dyDescent="0.25">
      <c r="D70" s="553"/>
      <c r="G70" s="716"/>
      <c r="M70" s="882"/>
    </row>
    <row r="71" spans="1:13" s="720" customFormat="1" x14ac:dyDescent="0.25">
      <c r="A71" s="732" t="s">
        <v>108</v>
      </c>
      <c r="B71" s="768">
        <f>SUM(B55,B63, B69)</f>
        <v>3739139.0951025635</v>
      </c>
      <c r="C71" s="921"/>
      <c r="D71" s="823" t="s">
        <v>443</v>
      </c>
      <c r="E71" s="773" t="s">
        <v>524</v>
      </c>
      <c r="F71" s="556"/>
      <c r="G71" s="889" t="s">
        <v>525</v>
      </c>
      <c r="I71" s="454"/>
      <c r="J71" s="752">
        <f>SUM(J55,J63, J69)</f>
        <v>3739139.0951025635</v>
      </c>
      <c r="K71" s="752" t="s">
        <v>526</v>
      </c>
      <c r="L71" s="769"/>
      <c r="M71" s="465" t="s">
        <v>527</v>
      </c>
    </row>
    <row r="72" spans="1:13" s="720" customFormat="1" x14ac:dyDescent="0.25">
      <c r="A72" s="558"/>
      <c r="B72" s="562"/>
      <c r="C72" s="729"/>
      <c r="D72" s="729"/>
      <c r="E72" s="562"/>
      <c r="F72" s="563"/>
      <c r="G72" s="716"/>
      <c r="H72" s="564"/>
      <c r="I72" s="725"/>
      <c r="J72" s="562"/>
      <c r="K72" s="562"/>
      <c r="L72" s="725"/>
      <c r="M72" s="725"/>
    </row>
    <row r="73" spans="1:13" s="312" customFormat="1" ht="16.5" thickBot="1" x14ac:dyDescent="0.3">
      <c r="A73" s="721" t="s">
        <v>528</v>
      </c>
      <c r="B73" s="722"/>
      <c r="C73" s="722"/>
      <c r="D73" s="722"/>
      <c r="E73" s="722"/>
      <c r="F73" s="722"/>
      <c r="G73" s="860"/>
    </row>
    <row r="74" spans="1:13" s="723" customFormat="1" ht="15.75" thickTop="1" x14ac:dyDescent="0.25">
      <c r="A74" s="731"/>
      <c r="B74" s="660"/>
      <c r="C74" s="569"/>
      <c r="D74" s="569"/>
      <c r="E74" s="569"/>
      <c r="F74" s="569"/>
      <c r="G74" s="868" t="s">
        <v>435</v>
      </c>
      <c r="H74" s="312"/>
      <c r="I74" s="312"/>
      <c r="J74" s="312"/>
      <c r="K74" s="312"/>
      <c r="L74" s="312"/>
      <c r="M74" s="312"/>
    </row>
    <row r="75" spans="1:13" s="720" customFormat="1" x14ac:dyDescent="0.25">
      <c r="A75" s="572" t="s">
        <v>529</v>
      </c>
      <c r="B75" s="922">
        <f>$J$93*$J$98*$J$119/2000+IF(J94&gt;0,$J$94*$J$103*$J$119/2000)</f>
        <v>280.167029828762</v>
      </c>
      <c r="C75" s="564"/>
      <c r="D75" s="564"/>
      <c r="F75" s="312"/>
      <c r="G75" s="923" t="s">
        <v>530</v>
      </c>
      <c r="H75" s="312"/>
      <c r="I75" s="454"/>
      <c r="J75" s="752"/>
      <c r="K75" s="752"/>
      <c r="L75" s="769"/>
      <c r="M75" s="465"/>
    </row>
    <row r="76" spans="1:13" s="720" customFormat="1" x14ac:dyDescent="0.25">
      <c r="A76" s="575" t="s">
        <v>531</v>
      </c>
      <c r="B76" s="922">
        <f>SUM($J$93:$J$94)*J108*$J$119/2000</f>
        <v>37.355603977168272</v>
      </c>
      <c r="C76" s="564"/>
      <c r="D76" s="564"/>
      <c r="F76" s="577"/>
      <c r="G76" s="923" t="s">
        <v>530</v>
      </c>
      <c r="H76" s="564"/>
      <c r="I76" s="454"/>
      <c r="J76" s="752"/>
      <c r="K76" s="752"/>
      <c r="L76" s="769"/>
      <c r="M76" s="465"/>
    </row>
    <row r="77" spans="1:13" s="720" customFormat="1" x14ac:dyDescent="0.25">
      <c r="A77" s="578" t="s">
        <v>532</v>
      </c>
      <c r="B77" s="924">
        <f>B75-B76</f>
        <v>242.81142585159373</v>
      </c>
      <c r="C77" s="564"/>
      <c r="D77" s="564"/>
      <c r="F77" s="312"/>
      <c r="G77" s="923" t="s">
        <v>530</v>
      </c>
      <c r="H77" s="312"/>
      <c r="I77" s="454"/>
      <c r="J77" s="752"/>
      <c r="K77" s="752"/>
      <c r="L77" s="769"/>
      <c r="M77" s="465"/>
    </row>
    <row r="78" spans="1:13" s="720" customFormat="1" x14ac:dyDescent="0.25">
      <c r="A78" s="581"/>
      <c r="B78" s="925"/>
      <c r="C78" s="564"/>
      <c r="D78" s="564"/>
      <c r="F78" s="312"/>
      <c r="G78" s="716"/>
      <c r="H78" s="312"/>
      <c r="I78" s="725"/>
      <c r="J78" s="312"/>
      <c r="K78" s="312"/>
      <c r="L78" s="725"/>
      <c r="M78" s="725"/>
    </row>
    <row r="79" spans="1:13" s="720" customFormat="1" x14ac:dyDescent="0.25">
      <c r="A79" s="583" t="s">
        <v>108</v>
      </c>
      <c r="B79" s="926">
        <f>B71</f>
        <v>3739139.0951025635</v>
      </c>
      <c r="C79" s="564"/>
      <c r="D79" s="564"/>
      <c r="F79" s="312"/>
      <c r="G79" s="923" t="s">
        <v>533</v>
      </c>
      <c r="H79" s="312"/>
      <c r="I79" s="454"/>
      <c r="J79" s="752"/>
      <c r="K79" s="752"/>
      <c r="L79" s="769"/>
      <c r="M79" s="465"/>
    </row>
    <row r="80" spans="1:13" s="720" customFormat="1" x14ac:dyDescent="0.25">
      <c r="A80" s="865" t="s">
        <v>534</v>
      </c>
      <c r="B80" s="866">
        <f>IF(B77=0,"",B79/B77)</f>
        <v>15399.353971867553</v>
      </c>
      <c r="C80" s="564"/>
      <c r="D80" s="312"/>
      <c r="G80" s="923" t="s">
        <v>535</v>
      </c>
      <c r="H80" s="724"/>
      <c r="I80" s="454"/>
      <c r="J80" s="752"/>
      <c r="K80" s="752"/>
      <c r="L80" s="769"/>
      <c r="M80" s="465"/>
    </row>
    <row r="81" spans="1:13" s="720" customFormat="1" hidden="1" x14ac:dyDescent="0.25">
      <c r="A81" s="588" t="s">
        <v>536</v>
      </c>
      <c r="B81" s="839"/>
      <c r="C81" s="564"/>
      <c r="D81" s="563"/>
      <c r="F81" s="563"/>
      <c r="G81" s="716"/>
      <c r="H81" s="564"/>
      <c r="I81" s="454"/>
      <c r="J81" s="752"/>
      <c r="K81" s="752"/>
      <c r="L81" s="775" t="str">
        <f>IF(B81="","Req'd")</f>
        <v>Req'd</v>
      </c>
      <c r="M81" s="465"/>
    </row>
    <row r="82" spans="1:13" s="720" customFormat="1" hidden="1" x14ac:dyDescent="0.25">
      <c r="A82" s="591"/>
      <c r="B82" s="927"/>
      <c r="C82" s="564"/>
      <c r="D82" s="563"/>
      <c r="F82" s="563"/>
      <c r="G82" s="716"/>
      <c r="H82" s="564"/>
      <c r="I82" s="725"/>
      <c r="J82" s="562"/>
      <c r="K82" s="562"/>
      <c r="L82" s="725"/>
      <c r="M82" s="725"/>
    </row>
    <row r="83" spans="1:13" s="720" customFormat="1" hidden="1" x14ac:dyDescent="0.25">
      <c r="A83" s="774" t="s">
        <v>537</v>
      </c>
      <c r="B83" s="928"/>
      <c r="C83" s="564"/>
      <c r="D83" s="596"/>
      <c r="E83" s="597"/>
      <c r="F83" s="598"/>
      <c r="G83" s="716"/>
      <c r="H83" s="564"/>
      <c r="I83" s="725"/>
      <c r="J83" s="562"/>
      <c r="K83" s="562"/>
      <c r="L83" s="725"/>
      <c r="M83" s="725"/>
    </row>
    <row r="84" spans="1:13" s="720" customFormat="1" ht="15.75" hidden="1" thickBot="1" x14ac:dyDescent="0.3">
      <c r="A84" s="599" t="str">
        <f>IF(B80="","TBD",IF(B80&gt;B81,"Project costs exceed BACT cost effectiveness threshold and may not be considered cost effective.","Project may be considered cost effective."))</f>
        <v>Project costs exceed BACT cost effectiveness threshold and may not be considered cost effective.</v>
      </c>
      <c r="B84" s="929"/>
      <c r="C84" s="564"/>
      <c r="D84" s="602"/>
      <c r="E84" s="602"/>
      <c r="F84" s="603"/>
      <c r="G84" s="716"/>
      <c r="H84" s="564"/>
      <c r="I84" s="725"/>
      <c r="J84" s="562"/>
      <c r="K84" s="562"/>
      <c r="L84" s="725"/>
      <c r="M84" s="725"/>
    </row>
    <row r="85" spans="1:13" s="720" customFormat="1" x14ac:dyDescent="0.25">
      <c r="A85" s="558"/>
      <c r="B85" s="563"/>
      <c r="C85" s="562"/>
      <c r="D85" s="562"/>
      <c r="E85" s="562"/>
      <c r="F85" s="563"/>
      <c r="G85" s="716"/>
      <c r="H85" s="564"/>
      <c r="I85" s="725"/>
      <c r="J85" s="562"/>
      <c r="K85" s="562"/>
      <c r="L85" s="725"/>
      <c r="M85" s="725"/>
    </row>
    <row r="86" spans="1:13" s="312" customFormat="1" ht="16.5" thickBot="1" x14ac:dyDescent="0.3">
      <c r="A86" s="721" t="s">
        <v>538</v>
      </c>
      <c r="B86" s="722"/>
      <c r="C86" s="722"/>
      <c r="D86" s="722"/>
      <c r="E86" s="722"/>
      <c r="F86" s="722"/>
      <c r="G86" s="930"/>
    </row>
    <row r="87" spans="1:13" ht="15.75" thickTop="1" x14ac:dyDescent="0.25">
      <c r="H87" s="312"/>
      <c r="J87" s="718"/>
      <c r="K87" s="718"/>
      <c r="M87" s="312"/>
    </row>
    <row r="88" spans="1:13" x14ac:dyDescent="0.25">
      <c r="A88" s="718" t="s">
        <v>539</v>
      </c>
      <c r="H88" s="312"/>
      <c r="I88" s="312"/>
      <c r="J88" s="312"/>
      <c r="K88" s="312"/>
      <c r="L88" s="312"/>
      <c r="M88" s="312"/>
    </row>
    <row r="89" spans="1:13" x14ac:dyDescent="0.25">
      <c r="A89" s="718" t="s">
        <v>540</v>
      </c>
      <c r="H89" s="312"/>
      <c r="I89" s="312"/>
      <c r="J89" s="312"/>
      <c r="K89" s="312"/>
      <c r="L89" s="312"/>
      <c r="M89" s="312"/>
    </row>
    <row r="90" spans="1:13" ht="8.25" customHeight="1" x14ac:dyDescent="0.25">
      <c r="H90" s="312"/>
      <c r="I90" s="312"/>
      <c r="J90" s="312"/>
      <c r="K90" s="312"/>
      <c r="L90" s="312"/>
      <c r="M90" s="312"/>
    </row>
    <row r="91" spans="1:13" x14ac:dyDescent="0.25">
      <c r="A91" s="755" t="s">
        <v>541</v>
      </c>
      <c r="B91" s="754"/>
      <c r="C91" s="754"/>
      <c r="D91" s="754"/>
      <c r="E91" s="754"/>
      <c r="F91" s="754"/>
      <c r="G91" s="931"/>
      <c r="H91" s="312"/>
      <c r="I91" s="740" t="s">
        <v>436</v>
      </c>
      <c r="J91" s="741" t="s">
        <v>437</v>
      </c>
      <c r="K91" s="788" t="s">
        <v>438</v>
      </c>
      <c r="L91" s="741" t="s">
        <v>439</v>
      </c>
      <c r="M91" s="742" t="s">
        <v>395</v>
      </c>
    </row>
    <row r="92" spans="1:13" x14ac:dyDescent="0.25">
      <c r="A92" s="756"/>
      <c r="B92" s="737"/>
      <c r="C92" s="737"/>
      <c r="D92" s="737"/>
      <c r="E92" s="737"/>
      <c r="F92" s="737"/>
      <c r="G92" s="868" t="s">
        <v>435</v>
      </c>
      <c r="H92" s="312"/>
      <c r="I92" s="740"/>
      <c r="J92" s="741"/>
      <c r="K92" s="788"/>
      <c r="L92" s="741"/>
      <c r="M92" s="790"/>
    </row>
    <row r="93" spans="1:13" x14ac:dyDescent="0.25">
      <c r="A93" s="718" t="s">
        <v>542</v>
      </c>
      <c r="B93" s="843">
        <v>1164</v>
      </c>
      <c r="C93" s="738" t="s">
        <v>53</v>
      </c>
      <c r="D93" s="738"/>
      <c r="G93" s="932"/>
      <c r="H93" s="312"/>
      <c r="I93" s="411"/>
      <c r="J93" s="743">
        <f>B93</f>
        <v>1164</v>
      </c>
      <c r="K93" s="787" t="s">
        <v>53</v>
      </c>
      <c r="L93" s="638" t="b">
        <f>IF(B93="","Req'd")</f>
        <v>0</v>
      </c>
      <c r="M93" s="415"/>
    </row>
    <row r="94" spans="1:13" x14ac:dyDescent="0.25">
      <c r="A94" s="718" t="s">
        <v>543</v>
      </c>
      <c r="B94" s="843"/>
      <c r="C94" s="738" t="s">
        <v>53</v>
      </c>
      <c r="D94" s="738"/>
      <c r="G94" s="923"/>
      <c r="H94" s="312"/>
      <c r="I94" s="411"/>
      <c r="J94" s="743">
        <f>B94</f>
        <v>0</v>
      </c>
      <c r="K94" s="787" t="s">
        <v>53</v>
      </c>
      <c r="L94" s="638" t="b">
        <v>0</v>
      </c>
      <c r="M94" s="415"/>
    </row>
    <row r="95" spans="1:13" s="723" customFormat="1" ht="8.25" customHeight="1" x14ac:dyDescent="0.25">
      <c r="B95" s="737"/>
      <c r="C95" s="737"/>
      <c r="D95" s="737"/>
      <c r="E95" s="737"/>
      <c r="F95" s="737"/>
      <c r="G95" s="716"/>
      <c r="H95" s="421"/>
      <c r="I95" s="421"/>
      <c r="J95" s="421"/>
      <c r="K95" s="421"/>
      <c r="L95" s="933"/>
      <c r="M95" s="425"/>
    </row>
    <row r="96" spans="1:13" x14ac:dyDescent="0.25">
      <c r="A96" s="755" t="s">
        <v>544</v>
      </c>
      <c r="B96" s="754"/>
      <c r="C96" s="754"/>
      <c r="D96" s="754"/>
      <c r="E96" s="754"/>
      <c r="F96" s="754"/>
      <c r="G96" s="931"/>
      <c r="H96" s="312"/>
      <c r="I96" s="312"/>
      <c r="J96" s="312"/>
      <c r="K96" s="312"/>
      <c r="L96" s="635"/>
      <c r="M96" s="882"/>
    </row>
    <row r="97" spans="1:13" x14ac:dyDescent="0.25">
      <c r="A97" s="756"/>
      <c r="B97" s="737"/>
      <c r="C97" s="737"/>
      <c r="D97" s="737"/>
      <c r="E97" s="737"/>
      <c r="F97" s="737"/>
      <c r="G97" s="868" t="s">
        <v>435</v>
      </c>
      <c r="H97" s="312"/>
      <c r="I97" s="312"/>
      <c r="J97" s="312"/>
      <c r="K97" s="312"/>
      <c r="L97" s="635"/>
      <c r="M97" s="882"/>
    </row>
    <row r="98" spans="1:13" x14ac:dyDescent="0.25">
      <c r="A98" s="718" t="s">
        <v>545</v>
      </c>
      <c r="B98" s="781"/>
      <c r="C98" s="738" t="s">
        <v>546</v>
      </c>
      <c r="D98" s="738"/>
      <c r="G98" s="923"/>
      <c r="H98" s="312"/>
      <c r="I98" s="745">
        <f>B98</f>
        <v>0</v>
      </c>
      <c r="J98" s="744">
        <f>IF(ISNUMBER(B98),I98,IF(ISNUMBER(B99),I99,IF(ISNUMBER(B100),I100,I101)))</f>
        <v>5.4952813834510582E-2</v>
      </c>
      <c r="K98" s="787" t="s">
        <v>113</v>
      </c>
      <c r="L98" s="638" t="str">
        <f>IF(OR(B99&lt;&gt;"",B100&lt;&gt;""),"N/A")</f>
        <v>N/A</v>
      </c>
      <c r="M98" s="415"/>
    </row>
    <row r="99" spans="1:13" x14ac:dyDescent="0.25">
      <c r="A99" s="736" t="s">
        <v>547</v>
      </c>
      <c r="B99" s="781"/>
      <c r="C99" s="738" t="s">
        <v>548</v>
      </c>
      <c r="D99" s="738"/>
      <c r="G99" s="923"/>
      <c r="H99" s="312"/>
      <c r="I99" s="745">
        <f>B99/$J$114</f>
        <v>0</v>
      </c>
      <c r="J99" s="743"/>
      <c r="K99" s="787"/>
      <c r="L99" s="638" t="str">
        <f>IF(OR(B98&lt;&gt;"",B100&lt;&gt;""),"N/A")</f>
        <v>N/A</v>
      </c>
      <c r="M99" s="415"/>
    </row>
    <row r="100" spans="1:13" x14ac:dyDescent="0.25">
      <c r="A100" s="736" t="s">
        <v>547</v>
      </c>
      <c r="B100" s="944">
        <f>15</f>
        <v>15</v>
      </c>
      <c r="C100" s="738" t="s">
        <v>549</v>
      </c>
      <c r="D100" s="738"/>
      <c r="G100" s="923" t="s">
        <v>550</v>
      </c>
      <c r="H100" s="312"/>
      <c r="I100" s="745">
        <f>B100*1.194*10^-7*J$115*(20.946/(20.946-15))</f>
        <v>5.4952813834510582E-2</v>
      </c>
      <c r="J100" s="743"/>
      <c r="K100" s="787"/>
      <c r="L100" s="638" t="b">
        <f>IF(OR(B98&lt;&gt;"",B99&lt;&gt;""),"N/A")</f>
        <v>0</v>
      </c>
      <c r="M100" s="415"/>
    </row>
    <row r="101" spans="1:13" x14ac:dyDescent="0.25">
      <c r="A101" s="736" t="s">
        <v>551</v>
      </c>
      <c r="B101" s="789"/>
      <c r="C101" s="738" t="s">
        <v>549</v>
      </c>
      <c r="D101" s="738"/>
      <c r="G101" s="923"/>
      <c r="H101" s="312"/>
      <c r="I101" s="745">
        <f>B101*1.194*10^-7*J$115*(20.946/(20.946-15))</f>
        <v>0</v>
      </c>
      <c r="J101" s="743"/>
      <c r="K101" s="787"/>
      <c r="L101" s="638" t="str">
        <f>IF(COUNTA(B98:B100)&gt;0,"N/A")</f>
        <v>N/A</v>
      </c>
      <c r="M101" s="415"/>
    </row>
    <row r="102" spans="1:13" x14ac:dyDescent="0.25">
      <c r="H102" s="312"/>
      <c r="I102" s="312"/>
      <c r="J102" s="312"/>
      <c r="K102" s="312"/>
      <c r="L102" s="635"/>
      <c r="M102" s="882"/>
    </row>
    <row r="103" spans="1:13" x14ac:dyDescent="0.25">
      <c r="A103" s="718" t="s">
        <v>552</v>
      </c>
      <c r="B103" s="944"/>
      <c r="C103" s="738" t="s">
        <v>546</v>
      </c>
      <c r="D103" s="738"/>
      <c r="G103" s="923"/>
      <c r="H103" s="312"/>
      <c r="I103" s="745">
        <f>B103</f>
        <v>0</v>
      </c>
      <c r="J103" s="744">
        <f>IF(ISNUMBER(B103),I103,IF(ISNUMBER(B104),I104,IF(ISNUMBER(B105),I105,I106)))</f>
        <v>0</v>
      </c>
      <c r="K103" s="787" t="s">
        <v>113</v>
      </c>
      <c r="L103" s="638" t="str">
        <f>IF($J$94=0,"N/A",IF(OR(B104&lt;&gt;"",B105&lt;&gt;""),"N/A"))</f>
        <v>N/A</v>
      </c>
      <c r="M103" s="415"/>
    </row>
    <row r="104" spans="1:13" x14ac:dyDescent="0.25">
      <c r="A104" s="736" t="s">
        <v>547</v>
      </c>
      <c r="B104" s="781"/>
      <c r="C104" s="738" t="s">
        <v>548</v>
      </c>
      <c r="D104" s="738"/>
      <c r="G104" s="923"/>
      <c r="H104" s="312"/>
      <c r="I104" s="745">
        <f>B104/$J$114</f>
        <v>0</v>
      </c>
      <c r="J104" s="743"/>
      <c r="K104" s="787"/>
      <c r="L104" s="638" t="str">
        <f>IF($J$94=0,"N/A",IF(OR(B103&lt;&gt;"",B105&lt;&gt;""),"N/A"))</f>
        <v>N/A</v>
      </c>
      <c r="M104" s="415"/>
    </row>
    <row r="105" spans="1:13" x14ac:dyDescent="0.25">
      <c r="A105" s="736" t="s">
        <v>547</v>
      </c>
      <c r="B105" s="781"/>
      <c r="C105" s="738" t="s">
        <v>553</v>
      </c>
      <c r="D105" s="738"/>
      <c r="G105" s="923"/>
      <c r="H105" s="312"/>
      <c r="I105" s="745">
        <f>B105*1.194*10^-7*J$115*(20.946/(20.946-3))</f>
        <v>0</v>
      </c>
      <c r="J105" s="743"/>
      <c r="K105" s="787"/>
      <c r="L105" s="638" t="str">
        <f>IF($J$94=0,"N/A",IF(OR(B103&lt;&gt;"",B104&lt;&gt;""),"N/A"))</f>
        <v>N/A</v>
      </c>
      <c r="M105" s="415"/>
    </row>
    <row r="106" spans="1:13" x14ac:dyDescent="0.25">
      <c r="A106" s="736" t="s">
        <v>551</v>
      </c>
      <c r="B106" s="789"/>
      <c r="C106" s="738" t="s">
        <v>553</v>
      </c>
      <c r="D106" s="738"/>
      <c r="G106" s="923"/>
      <c r="H106" s="312"/>
      <c r="I106" s="745">
        <f>B106*1.194*10^-7*J$115*(20.946/(20.946-3))</f>
        <v>0</v>
      </c>
      <c r="J106" s="743"/>
      <c r="K106" s="787"/>
      <c r="L106" s="638" t="str">
        <f>IF($J$94=0,"N/A",IF(COUNTA(B103:B105)&gt;0,"N/A"))</f>
        <v>N/A</v>
      </c>
      <c r="M106" s="415"/>
    </row>
    <row r="107" spans="1:13" x14ac:dyDescent="0.25">
      <c r="H107" s="312"/>
      <c r="I107" s="312"/>
      <c r="J107" s="312"/>
      <c r="K107" s="312"/>
      <c r="L107" s="635"/>
      <c r="M107" s="882"/>
    </row>
    <row r="108" spans="1:13" x14ac:dyDescent="0.25">
      <c r="A108" s="718" t="s">
        <v>554</v>
      </c>
      <c r="B108" s="781"/>
      <c r="C108" s="738" t="s">
        <v>546</v>
      </c>
      <c r="D108" s="738"/>
      <c r="G108" s="923"/>
      <c r="H108" s="312"/>
      <c r="I108" s="745">
        <f>B108</f>
        <v>0</v>
      </c>
      <c r="J108" s="744">
        <f>IF(ISNUMBER(B108),I108,IF(ISNUMBER(B109),I109,I110))</f>
        <v>7.3270418446014108E-3</v>
      </c>
      <c r="K108" s="787" t="s">
        <v>113</v>
      </c>
      <c r="L108" s="638" t="str">
        <f>IF(COUNTA(B108:B110)=0,"Req'd",IF(OR(B109&lt;&gt;"",B110&lt;&gt;""),"N/A"))</f>
        <v>N/A</v>
      </c>
      <c r="M108" s="415"/>
    </row>
    <row r="109" spans="1:13" x14ac:dyDescent="0.25">
      <c r="A109" s="736" t="s">
        <v>547</v>
      </c>
      <c r="B109" s="781"/>
      <c r="C109" s="738" t="s">
        <v>548</v>
      </c>
      <c r="D109" s="738"/>
      <c r="G109" s="923"/>
      <c r="H109" s="312"/>
      <c r="I109" s="745">
        <f>B109/$J$114</f>
        <v>0</v>
      </c>
      <c r="J109" s="743"/>
      <c r="K109" s="787"/>
      <c r="L109" s="638" t="str">
        <f>IF(COUNTA(B108:B110)=0,"Req'd",IF(OR(B108&lt;&gt;"",B110&lt;&gt;""),"N/A"))</f>
        <v>N/A</v>
      </c>
      <c r="M109" s="415"/>
    </row>
    <row r="110" spans="1:13" x14ac:dyDescent="0.25">
      <c r="A110" s="736" t="s">
        <v>547</v>
      </c>
      <c r="B110" s="781">
        <v>2</v>
      </c>
      <c r="C110" s="738" t="s">
        <v>549</v>
      </c>
      <c r="D110" s="738"/>
      <c r="G110" s="932" t="s">
        <v>555</v>
      </c>
      <c r="H110" s="312"/>
      <c r="I110" s="745">
        <f>B110*1.194*10^-7*J$115*(20.946/(20.946-15))</f>
        <v>7.3270418446014108E-3</v>
      </c>
      <c r="J110" s="743"/>
      <c r="K110" s="787"/>
      <c r="L110" s="638" t="b">
        <f>IF(COUNTA(B108:B110)=0,"Req'd",IF(OR(B108&lt;&gt;"",B109&lt;&gt;""),"N/A"))</f>
        <v>0</v>
      </c>
      <c r="M110" s="415"/>
    </row>
    <row r="111" spans="1:13" ht="8.25" customHeight="1" x14ac:dyDescent="0.25">
      <c r="A111" s="723"/>
      <c r="B111" s="737"/>
      <c r="C111" s="737"/>
      <c r="D111" s="737"/>
      <c r="E111" s="737"/>
      <c r="F111" s="737"/>
      <c r="H111" s="312"/>
      <c r="I111" s="312"/>
      <c r="J111" s="312"/>
      <c r="K111" s="312"/>
      <c r="L111" s="635"/>
      <c r="M111" s="882"/>
    </row>
    <row r="112" spans="1:13" x14ac:dyDescent="0.25">
      <c r="A112" s="755" t="s">
        <v>556</v>
      </c>
      <c r="B112" s="754"/>
      <c r="C112" s="754"/>
      <c r="D112" s="754"/>
      <c r="E112" s="754"/>
      <c r="F112" s="754"/>
      <c r="G112" s="931"/>
      <c r="H112" s="312"/>
      <c r="I112" s="312"/>
      <c r="J112" s="312"/>
      <c r="K112" s="312"/>
      <c r="L112" s="635"/>
      <c r="M112" s="882"/>
    </row>
    <row r="113" spans="1:14" x14ac:dyDescent="0.25">
      <c r="A113" s="756"/>
      <c r="B113" s="737"/>
      <c r="C113" s="737"/>
      <c r="D113" s="737"/>
      <c r="E113" s="737"/>
      <c r="F113" s="737"/>
      <c r="G113" s="868" t="s">
        <v>435</v>
      </c>
      <c r="H113" s="312"/>
      <c r="I113" s="312"/>
      <c r="J113" s="312"/>
      <c r="K113" s="312"/>
      <c r="L113" s="635"/>
      <c r="M113" s="882"/>
    </row>
    <row r="114" spans="1:14" x14ac:dyDescent="0.25">
      <c r="A114" s="718" t="str">
        <f>"HHV  [Default: "&amp;I114&amp;" " &amp; C114&amp;"]"</f>
        <v>HHV  [Default: 1050 Btu/scf]</v>
      </c>
      <c r="B114" s="781">
        <f>'LNG Fuel'!C33</f>
        <v>1087</v>
      </c>
      <c r="C114" s="738" t="s">
        <v>181</v>
      </c>
      <c r="D114" s="738"/>
      <c r="G114" s="934" t="s">
        <v>637</v>
      </c>
      <c r="H114" s="312"/>
      <c r="I114" s="411">
        <v>1050</v>
      </c>
      <c r="J114" s="743">
        <f>IF(ISNUMBER(B114),B114,I114)</f>
        <v>1087</v>
      </c>
      <c r="K114" s="787" t="s">
        <v>181</v>
      </c>
      <c r="L114" s="638" t="b">
        <v>0</v>
      </c>
      <c r="M114" s="415"/>
    </row>
    <row r="115" spans="1:14" ht="30" x14ac:dyDescent="0.25">
      <c r="A115" s="718" t="str">
        <f>"F-factor (dry)  [Default: "&amp;I115&amp;" " &amp; C115&amp;"]"</f>
        <v>F-factor (dry)  [Default: 8710 dscf/MMBtu]</v>
      </c>
      <c r="B115" s="945"/>
      <c r="C115" s="738" t="s">
        <v>557</v>
      </c>
      <c r="D115" s="738"/>
      <c r="G115" s="923" t="s">
        <v>558</v>
      </c>
      <c r="H115" s="312"/>
      <c r="I115" s="411">
        <v>8710</v>
      </c>
      <c r="J115" s="743">
        <f>IF(ISNUMBER(B115),B115,I115)</f>
        <v>8710</v>
      </c>
      <c r="K115" s="787" t="s">
        <v>557</v>
      </c>
      <c r="L115" s="638" t="b">
        <v>0</v>
      </c>
      <c r="M115" s="415"/>
    </row>
    <row r="116" spans="1:14" ht="8.25" customHeight="1" x14ac:dyDescent="0.25">
      <c r="A116" s="723"/>
      <c r="B116" s="737"/>
      <c r="C116" s="737"/>
      <c r="D116" s="737"/>
      <c r="E116" s="737"/>
      <c r="F116" s="737"/>
      <c r="H116" s="312"/>
      <c r="I116" s="312"/>
      <c r="J116" s="312"/>
      <c r="K116" s="312"/>
      <c r="L116" s="635"/>
      <c r="M116" s="882"/>
    </row>
    <row r="117" spans="1:14" x14ac:dyDescent="0.25">
      <c r="A117" s="755" t="s">
        <v>559</v>
      </c>
      <c r="B117" s="754"/>
      <c r="C117" s="754"/>
      <c r="D117" s="754"/>
      <c r="E117" s="754"/>
      <c r="F117" s="754"/>
      <c r="G117" s="931"/>
      <c r="H117" s="312"/>
      <c r="I117" s="312"/>
      <c r="J117" s="312"/>
      <c r="K117" s="312"/>
      <c r="L117" s="635"/>
      <c r="M117" s="882"/>
    </row>
    <row r="118" spans="1:14" x14ac:dyDescent="0.25">
      <c r="A118" s="756"/>
      <c r="B118" s="737"/>
      <c r="C118" s="737"/>
      <c r="D118" s="737"/>
      <c r="E118" s="737"/>
      <c r="F118" s="737"/>
      <c r="G118" s="868" t="s">
        <v>435</v>
      </c>
      <c r="H118" s="312"/>
      <c r="I118" s="312"/>
      <c r="J118" s="312"/>
      <c r="K118" s="312"/>
      <c r="L118" s="635"/>
      <c r="M118" s="882"/>
    </row>
    <row r="119" spans="1:14" x14ac:dyDescent="0.25">
      <c r="A119" s="718" t="str">
        <f>"Max annual op hours [Default: "&amp;I119&amp;" " &amp; C119&amp;"]"</f>
        <v>Max annual op hours [Default: 8760 hr/yr]</v>
      </c>
      <c r="B119" s="781">
        <v>8760</v>
      </c>
      <c r="C119" s="738" t="s">
        <v>560</v>
      </c>
      <c r="D119" s="738"/>
      <c r="G119" s="932"/>
      <c r="H119" s="312"/>
      <c r="I119" s="411">
        <v>8760</v>
      </c>
      <c r="J119" s="743">
        <f>IF(ISNUMBER(B119),B119,I119)</f>
        <v>8760</v>
      </c>
      <c r="K119" s="787" t="s">
        <v>561</v>
      </c>
      <c r="L119" s="638" t="b">
        <v>0</v>
      </c>
      <c r="M119" s="415"/>
    </row>
    <row r="120" spans="1:14" ht="9" customHeight="1" x14ac:dyDescent="0.25">
      <c r="A120" s="723"/>
      <c r="B120" s="737"/>
      <c r="C120" s="737"/>
      <c r="D120" s="737"/>
      <c r="E120" s="737"/>
      <c r="F120" s="737"/>
      <c r="H120" s="312"/>
      <c r="I120" s="312"/>
      <c r="J120" s="312"/>
      <c r="K120" s="312"/>
      <c r="L120" s="635"/>
      <c r="M120" s="882"/>
    </row>
    <row r="121" spans="1:14" x14ac:dyDescent="0.25">
      <c r="A121" s="755" t="s">
        <v>562</v>
      </c>
      <c r="B121" s="754"/>
      <c r="C121" s="754"/>
      <c r="D121" s="754"/>
      <c r="E121" s="754"/>
      <c r="F121" s="754"/>
      <c r="G121" s="931"/>
      <c r="H121" s="312"/>
      <c r="I121" s="312"/>
      <c r="J121" s="312"/>
      <c r="K121" s="312"/>
      <c r="L121" s="635"/>
      <c r="M121" s="882"/>
    </row>
    <row r="122" spans="1:14" x14ac:dyDescent="0.25">
      <c r="A122" s="756"/>
      <c r="B122" s="737"/>
      <c r="C122" s="737"/>
      <c r="D122" s="737"/>
      <c r="E122" s="737"/>
      <c r="F122" s="737"/>
      <c r="G122" s="868" t="s">
        <v>435</v>
      </c>
      <c r="H122" s="312"/>
      <c r="I122" s="312"/>
      <c r="J122" s="312"/>
      <c r="K122" s="312"/>
      <c r="L122" s="635"/>
      <c r="M122" s="882"/>
    </row>
    <row r="123" spans="1:14" x14ac:dyDescent="0.25">
      <c r="A123" s="718" t="s">
        <v>563</v>
      </c>
      <c r="B123" s="781"/>
      <c r="C123" s="738" t="s">
        <v>301</v>
      </c>
      <c r="D123" s="738"/>
      <c r="G123" s="923" t="s">
        <v>530</v>
      </c>
      <c r="H123" s="312"/>
      <c r="I123" s="636">
        <f>0.105*B93*(J98*((J98-J108)/J98)+0.5*(J125+J127*J126))</f>
        <v>311.3708218526067</v>
      </c>
      <c r="J123" s="848">
        <f>IF(ISNUMBER(B123),B123,I123)</f>
        <v>311.3708218526067</v>
      </c>
      <c r="K123" s="787" t="str">
        <f>C123</f>
        <v>kW</v>
      </c>
      <c r="L123" s="638"/>
      <c r="M123" s="415" t="s">
        <v>564</v>
      </c>
    </row>
    <row r="124" spans="1:14" x14ac:dyDescent="0.25">
      <c r="A124" s="723" t="s">
        <v>565</v>
      </c>
      <c r="B124" s="781"/>
      <c r="C124" s="738"/>
      <c r="D124" s="738"/>
      <c r="H124" s="312"/>
      <c r="I124" s="639"/>
      <c r="J124" s="640"/>
      <c r="K124" s="846"/>
      <c r="L124" s="642"/>
      <c r="M124" s="643"/>
      <c r="N124" s="723"/>
    </row>
    <row r="125" spans="1:14" x14ac:dyDescent="0.25">
      <c r="A125" s="718" t="s">
        <v>566</v>
      </c>
      <c r="B125" s="781"/>
      <c r="C125" s="738"/>
      <c r="D125" s="738"/>
      <c r="G125" s="923" t="s">
        <v>567</v>
      </c>
      <c r="H125" s="312"/>
      <c r="I125" s="411">
        <v>3</v>
      </c>
      <c r="J125" s="644">
        <f>IF(ISNUMBER(B125),B125,I125)</f>
        <v>3</v>
      </c>
      <c r="K125" s="787" t="s">
        <v>568</v>
      </c>
      <c r="L125" s="638" t="b">
        <f>IF(B$123&lt;&gt;"","N/A")</f>
        <v>0</v>
      </c>
      <c r="M125" s="415"/>
    </row>
    <row r="126" spans="1:14" x14ac:dyDescent="0.25">
      <c r="A126" s="718" t="s">
        <v>569</v>
      </c>
      <c r="B126" s="781"/>
      <c r="C126" s="738"/>
      <c r="D126" s="738"/>
      <c r="G126" s="923" t="s">
        <v>567</v>
      </c>
      <c r="H126" s="312"/>
      <c r="I126" s="411">
        <v>1</v>
      </c>
      <c r="J126" s="644">
        <f>IF(ISNUMBER(B126),B126,I126)</f>
        <v>1</v>
      </c>
      <c r="K126" s="787" t="s">
        <v>568</v>
      </c>
      <c r="L126" s="638" t="b">
        <f t="shared" ref="L126" si="4">IF(B$123&lt;&gt;"","N/A")</f>
        <v>0</v>
      </c>
      <c r="M126" s="415"/>
    </row>
    <row r="127" spans="1:14" x14ac:dyDescent="0.25">
      <c r="A127" s="718" t="s">
        <v>570</v>
      </c>
      <c r="B127" s="872">
        <f>'Compressor (15-2)'!G33</f>
        <v>2</v>
      </c>
      <c r="C127" s="738"/>
      <c r="D127" s="738"/>
      <c r="G127" s="923"/>
      <c r="H127" s="312"/>
      <c r="I127" s="411"/>
      <c r="J127" s="644">
        <f>IF(ISNUMBER(B127),B127,I127)</f>
        <v>2</v>
      </c>
      <c r="K127" s="787" t="s">
        <v>571</v>
      </c>
      <c r="L127" s="638" t="b">
        <f>IF(B$123&lt;&gt;"","N/A",IF(B127="","Req'd"))</f>
        <v>0</v>
      </c>
      <c r="M127" s="415"/>
    </row>
    <row r="128" spans="1:14" x14ac:dyDescent="0.25">
      <c r="A128" s="718" t="s">
        <v>572</v>
      </c>
      <c r="B128" s="855">
        <f>J123</f>
        <v>311.3708218526067</v>
      </c>
      <c r="C128" s="738" t="s">
        <v>301</v>
      </c>
      <c r="D128" s="646"/>
      <c r="G128" s="923" t="s">
        <v>567</v>
      </c>
      <c r="H128" s="312"/>
      <c r="I128" s="421"/>
      <c r="J128" s="854"/>
      <c r="K128" s="737"/>
      <c r="L128" s="638" t="b">
        <f>IF(B$123&lt;&gt;"","N/A")</f>
        <v>0</v>
      </c>
      <c r="M128" s="425"/>
    </row>
    <row r="129" spans="1:14" x14ac:dyDescent="0.25">
      <c r="A129" s="723"/>
      <c r="B129" s="847"/>
      <c r="C129" s="739"/>
      <c r="D129" s="739"/>
      <c r="E129" s="737"/>
      <c r="F129" s="737"/>
      <c r="H129" s="421"/>
      <c r="I129" s="639"/>
      <c r="J129" s="640"/>
      <c r="K129" s="846"/>
      <c r="L129" s="642"/>
      <c r="M129" s="643"/>
      <c r="N129" s="723"/>
    </row>
    <row r="130" spans="1:14" ht="45" x14ac:dyDescent="0.25">
      <c r="A130" s="718" t="str">
        <f>"Electricity Cost  [Default: "&amp;I130&amp;" " &amp; C130&amp;"]"</f>
        <v>Electricity Cost  [Default: 0.1572 $/kWh]</v>
      </c>
      <c r="B130" s="843">
        <f>'Utility Costs'!I40/100</f>
        <v>0.15608096020000001</v>
      </c>
      <c r="C130" s="738" t="s">
        <v>11</v>
      </c>
      <c r="D130" s="738"/>
      <c r="G130" s="869" t="s">
        <v>659</v>
      </c>
      <c r="H130" s="312"/>
      <c r="I130" s="411">
        <v>0.15720000000000001</v>
      </c>
      <c r="J130" s="747">
        <f>IF(ISNUMBER(B130),B130,I130)</f>
        <v>0.15608096020000001</v>
      </c>
      <c r="K130" s="787" t="s">
        <v>11</v>
      </c>
      <c r="L130" s="638" t="b">
        <v>0</v>
      </c>
      <c r="M130" s="415"/>
    </row>
    <row r="131" spans="1:14" ht="8.25" customHeight="1" x14ac:dyDescent="0.25">
      <c r="A131" s="723"/>
      <c r="B131" s="737"/>
      <c r="C131" s="737"/>
      <c r="D131" s="737"/>
      <c r="E131" s="737"/>
      <c r="F131" s="737"/>
      <c r="H131" s="312"/>
      <c r="I131" s="312"/>
      <c r="J131" s="312"/>
      <c r="K131" s="312"/>
      <c r="L131" s="635"/>
      <c r="M131" s="882"/>
    </row>
    <row r="132" spans="1:14" x14ac:dyDescent="0.25">
      <c r="A132" s="755" t="s">
        <v>573</v>
      </c>
      <c r="B132" s="754"/>
      <c r="C132" s="754"/>
      <c r="D132" s="754"/>
      <c r="E132" s="754"/>
      <c r="F132" s="754"/>
      <c r="G132" s="931"/>
      <c r="H132" s="312"/>
      <c r="I132" s="312"/>
      <c r="J132" s="312"/>
      <c r="K132" s="312"/>
      <c r="L132" s="635"/>
      <c r="M132" s="882"/>
    </row>
    <row r="133" spans="1:14" x14ac:dyDescent="0.25">
      <c r="A133" s="756"/>
      <c r="B133" s="737"/>
      <c r="C133" s="737"/>
      <c r="D133" s="737"/>
      <c r="E133" s="737"/>
      <c r="F133" s="737"/>
      <c r="G133" s="868" t="s">
        <v>435</v>
      </c>
      <c r="H133" s="312"/>
      <c r="I133" s="312"/>
      <c r="J133" s="312"/>
      <c r="K133" s="312"/>
      <c r="L133" s="635"/>
      <c r="M133" s="882"/>
    </row>
    <row r="134" spans="1:14" ht="26.25" x14ac:dyDescent="0.25">
      <c r="A134" s="718" t="s">
        <v>574</v>
      </c>
      <c r="B134" s="782">
        <f>'Compressor (15-2)'!G17</f>
        <v>2.2400000000000002</v>
      </c>
      <c r="C134" s="738" t="s">
        <v>575</v>
      </c>
      <c r="D134" s="738"/>
      <c r="G134" s="935" t="s">
        <v>661</v>
      </c>
      <c r="H134" s="312"/>
      <c r="I134" s="411"/>
      <c r="J134" s="747">
        <f>B134</f>
        <v>2.2400000000000002</v>
      </c>
      <c r="K134" s="787" t="str">
        <f>C134</f>
        <v>$/gallon</v>
      </c>
      <c r="L134" s="638" t="b">
        <f>IF(B134="","Req'd")</f>
        <v>0</v>
      </c>
      <c r="M134" s="415"/>
    </row>
    <row r="135" spans="1:14" x14ac:dyDescent="0.25">
      <c r="A135" s="718" t="s">
        <v>576</v>
      </c>
      <c r="B135" s="781"/>
      <c r="C135" s="738" t="s">
        <v>577</v>
      </c>
      <c r="D135" s="738"/>
      <c r="G135" s="923" t="s">
        <v>530</v>
      </c>
      <c r="H135" s="312"/>
      <c r="I135" s="411"/>
      <c r="J135" s="743">
        <f>IF(ISNUMBER(B135),B135,B136*24*J138)</f>
        <v>4926.4888348732165</v>
      </c>
      <c r="K135" s="787" t="s">
        <v>577</v>
      </c>
      <c r="L135" s="638" t="b">
        <f>IF(AND(B135="",B136=""),"Req'd")</f>
        <v>0</v>
      </c>
      <c r="M135" s="415"/>
    </row>
    <row r="136" spans="1:14" x14ac:dyDescent="0.25">
      <c r="A136" s="736" t="s">
        <v>547</v>
      </c>
      <c r="B136" s="781">
        <v>14</v>
      </c>
      <c r="C136" s="738" t="s">
        <v>578</v>
      </c>
      <c r="D136" s="738"/>
      <c r="G136" s="923" t="s">
        <v>502</v>
      </c>
      <c r="H136" s="312"/>
      <c r="I136" s="411"/>
      <c r="J136" s="743">
        <f>IF(ISNUMBER(B136),B136,B137*24*J139)</f>
        <v>14</v>
      </c>
      <c r="K136" s="787" t="s">
        <v>577</v>
      </c>
      <c r="L136" s="638" t="b">
        <f>IF(AND(B135="",B136=""),"Req'd",IF(B135&lt;&gt;"","N/A"))</f>
        <v>0</v>
      </c>
      <c r="M136" s="415"/>
    </row>
    <row r="137" spans="1:14" x14ac:dyDescent="0.25">
      <c r="B137" s="718"/>
      <c r="H137" s="312"/>
      <c r="I137" s="312"/>
      <c r="J137" s="312"/>
      <c r="K137" s="312"/>
      <c r="L137" s="635"/>
      <c r="M137" s="882"/>
    </row>
    <row r="138" spans="1:14" x14ac:dyDescent="0.25">
      <c r="A138" s="718" t="s">
        <v>579</v>
      </c>
      <c r="B138" s="843"/>
      <c r="C138" s="738" t="s">
        <v>65</v>
      </c>
      <c r="D138" s="738"/>
      <c r="G138" s="923" t="s">
        <v>530</v>
      </c>
      <c r="H138" s="312"/>
      <c r="I138" s="411">
        <f>(J141/J142)</f>
        <v>14.662169151408383</v>
      </c>
      <c r="J138" s="743">
        <f>IF(ISNUMBER(B138),B138,I138)</f>
        <v>14.662169151408383</v>
      </c>
      <c r="K138" s="787" t="str">
        <f>C138</f>
        <v>gal/hr</v>
      </c>
      <c r="L138" s="638"/>
      <c r="M138" s="415"/>
    </row>
    <row r="139" spans="1:14" s="312" customFormat="1" x14ac:dyDescent="0.25">
      <c r="A139" s="723" t="s">
        <v>580</v>
      </c>
      <c r="G139" s="716"/>
      <c r="L139" s="635"/>
      <c r="M139" s="882"/>
    </row>
    <row r="140" spans="1:14" x14ac:dyDescent="0.25">
      <c r="A140" s="736" t="str">
        <f>"Stored NH3 concentration  [Default: "&amp;TEXT(I140,"0.0%")&amp;"]"</f>
        <v>Stored NH3 concentration  [Default: 19.4%]</v>
      </c>
      <c r="B140" s="936"/>
      <c r="C140" s="738" t="s">
        <v>581</v>
      </c>
      <c r="D140" s="738"/>
      <c r="E140" s="718"/>
      <c r="F140" s="725"/>
      <c r="G140" s="923"/>
      <c r="H140" s="718"/>
      <c r="I140" s="655">
        <v>0.19400000000000001</v>
      </c>
      <c r="J140" s="656">
        <f>IF(ISNUMBER(B140),B140,I140)</f>
        <v>0.19400000000000001</v>
      </c>
      <c r="K140" s="657" t="s">
        <v>581</v>
      </c>
      <c r="L140" s="638" t="b">
        <f>IF(B$138&lt;&gt;"","N/A")</f>
        <v>0</v>
      </c>
      <c r="M140" s="415" t="s">
        <v>582</v>
      </c>
    </row>
    <row r="141" spans="1:14" ht="18" x14ac:dyDescent="0.35">
      <c r="A141" s="736" t="s">
        <v>583</v>
      </c>
      <c r="B141" s="843">
        <f>'Compressor (15-2)'!C16</f>
        <v>114.10100033626004</v>
      </c>
      <c r="C141" s="738" t="s">
        <v>12</v>
      </c>
      <c r="D141" s="738"/>
      <c r="E141" s="718"/>
      <c r="F141" s="718"/>
      <c r="G141" s="923" t="s">
        <v>530</v>
      </c>
      <c r="H141" s="718"/>
      <c r="I141" s="636">
        <f>(J93*(J98-J108)+J94*(J103-J108))*(1.05*17.03)/(1*46.01)/J140</f>
        <v>111.05675833569586</v>
      </c>
      <c r="J141" s="644">
        <f>IF(ISNUMBER(B141),B141,I141)</f>
        <v>114.10100033626004</v>
      </c>
      <c r="K141" s="659" t="s">
        <v>12</v>
      </c>
      <c r="L141" s="638" t="b">
        <f>IF(B$138&lt;&gt;"","N/A")</f>
        <v>0</v>
      </c>
      <c r="M141" s="415" t="s">
        <v>584</v>
      </c>
    </row>
    <row r="142" spans="1:14" x14ac:dyDescent="0.25">
      <c r="A142" s="736" t="str">
        <f>"NH3 solution density  [Default: "&amp;TEXT(I142,"0.000")&amp;" "&amp;K142&amp;"]"</f>
        <v>NH3 solution density  [Default: 7.782 lb/gal]</v>
      </c>
      <c r="B142" s="783">
        <f>'Compressor (15-2)'!G14</f>
        <v>7.782</v>
      </c>
      <c r="C142" s="738" t="s">
        <v>385</v>
      </c>
      <c r="D142" s="738"/>
      <c r="E142" s="718"/>
      <c r="F142" s="718"/>
      <c r="G142" s="923" t="s">
        <v>585</v>
      </c>
      <c r="H142" s="718"/>
      <c r="I142" s="636">
        <f>-3.3395*J140 + 8.4297</f>
        <v>7.7818370000000003</v>
      </c>
      <c r="J142" s="644">
        <f>IF(ISNUMBER(B142),B142,I142)</f>
        <v>7.782</v>
      </c>
      <c r="K142" s="659" t="s">
        <v>385</v>
      </c>
      <c r="L142" s="638" t="b">
        <f>IF(B$138&lt;&gt;"","N/A")</f>
        <v>0</v>
      </c>
      <c r="M142" s="415"/>
    </row>
    <row r="143" spans="1:14" x14ac:dyDescent="0.25">
      <c r="A143" s="718" t="s">
        <v>586</v>
      </c>
      <c r="B143" s="855">
        <f>J138</f>
        <v>14.662169151408383</v>
      </c>
      <c r="C143" s="738" t="s">
        <v>65</v>
      </c>
      <c r="D143" s="738"/>
      <c r="E143" s="718"/>
      <c r="F143" s="718"/>
      <c r="G143" s="923" t="s">
        <v>587</v>
      </c>
      <c r="H143" s="718"/>
      <c r="I143" s="660"/>
      <c r="J143" s="660"/>
      <c r="K143" s="661"/>
      <c r="L143" s="638" t="b">
        <f>IF(B$138&lt;&gt;"","N/A")</f>
        <v>0</v>
      </c>
      <c r="M143" s="425"/>
    </row>
    <row r="144" spans="1:14" ht="8.25" customHeight="1" x14ac:dyDescent="0.25">
      <c r="A144" s="723"/>
      <c r="B144" s="737"/>
      <c r="C144" s="737"/>
      <c r="D144" s="737"/>
      <c r="E144" s="737"/>
      <c r="F144" s="737"/>
      <c r="H144" s="312"/>
      <c r="I144" s="312"/>
      <c r="J144" s="312"/>
      <c r="K144" s="312"/>
      <c r="L144" s="312"/>
      <c r="M144" s="882"/>
    </row>
    <row r="145" spans="1:13" x14ac:dyDescent="0.25">
      <c r="A145" s="755" t="s">
        <v>588</v>
      </c>
      <c r="B145" s="754"/>
      <c r="C145" s="754"/>
      <c r="D145" s="754"/>
      <c r="E145" s="754"/>
      <c r="F145" s="754"/>
      <c r="G145" s="931"/>
      <c r="H145" s="312"/>
      <c r="I145" s="312"/>
      <c r="J145" s="312"/>
      <c r="K145" s="312"/>
      <c r="L145" s="312"/>
      <c r="M145" s="882"/>
    </row>
    <row r="146" spans="1:13" x14ac:dyDescent="0.25">
      <c r="A146" s="756"/>
      <c r="B146" s="737"/>
      <c r="C146" s="737"/>
      <c r="D146" s="737"/>
      <c r="E146" s="737"/>
      <c r="F146" s="737"/>
      <c r="G146" s="868" t="s">
        <v>435</v>
      </c>
      <c r="H146" s="312"/>
      <c r="I146" s="312"/>
      <c r="J146" s="312"/>
      <c r="K146" s="312"/>
      <c r="L146" s="312"/>
      <c r="M146" s="882"/>
    </row>
    <row r="147" spans="1:13" x14ac:dyDescent="0.25">
      <c r="A147" s="718" t="s">
        <v>589</v>
      </c>
      <c r="B147" s="784">
        <f>'Compressor (15-2)'!G25*'Compressor (15-2)'!G40</f>
        <v>682501.56941071129</v>
      </c>
      <c r="G147" s="937" t="s">
        <v>612</v>
      </c>
      <c r="H147" s="312"/>
      <c r="I147" s="411"/>
      <c r="J147" s="746">
        <f>B147</f>
        <v>682501.56941071129</v>
      </c>
      <c r="K147" s="787" t="s">
        <v>445</v>
      </c>
      <c r="L147" s="638" t="b">
        <f>IF(B147="","Req'd")</f>
        <v>0</v>
      </c>
      <c r="M147" s="415"/>
    </row>
    <row r="148" spans="1:13" x14ac:dyDescent="0.25">
      <c r="A148" s="718" t="s">
        <v>590</v>
      </c>
      <c r="B148" s="781">
        <v>3</v>
      </c>
      <c r="C148" s="738" t="s">
        <v>518</v>
      </c>
      <c r="D148" s="646"/>
      <c r="G148" s="932" t="s">
        <v>444</v>
      </c>
      <c r="H148" s="312"/>
      <c r="I148" s="411"/>
      <c r="J148" s="743">
        <f>IF(ISNUMBER(B148),B148,I148)</f>
        <v>3</v>
      </c>
      <c r="K148" s="787" t="s">
        <v>518</v>
      </c>
      <c r="L148" s="638" t="b">
        <f>IF(B148="","Req'd")</f>
        <v>0</v>
      </c>
      <c r="M148" s="415"/>
    </row>
    <row r="149" spans="1:13" x14ac:dyDescent="0.25">
      <c r="A149" s="664" t="s">
        <v>31</v>
      </c>
      <c r="B149" s="938">
        <v>7.0000000000000007E-2</v>
      </c>
      <c r="C149" s="738" t="s">
        <v>520</v>
      </c>
      <c r="D149" s="738"/>
      <c r="G149" s="923" t="s">
        <v>591</v>
      </c>
      <c r="H149" s="312"/>
      <c r="I149" s="411"/>
      <c r="J149" s="666">
        <f>IF(ISNUMBER(B149),B149,I149)</f>
        <v>7.0000000000000007E-2</v>
      </c>
      <c r="K149" s="787" t="s">
        <v>520</v>
      </c>
      <c r="L149" s="638" t="b">
        <f>IF(B149="","Req'd")</f>
        <v>0</v>
      </c>
      <c r="M149" s="415"/>
    </row>
    <row r="150" spans="1:13" x14ac:dyDescent="0.25">
      <c r="A150" s="667" t="s">
        <v>592</v>
      </c>
      <c r="B150" s="939">
        <f>J150</f>
        <v>212293.24999555541</v>
      </c>
      <c r="G150" s="923" t="s">
        <v>593</v>
      </c>
      <c r="H150" s="312"/>
      <c r="I150" s="940">
        <f>IF(NOT(AND(ISNUMBER(B147),ISNUMBER(B148))),0,J147*J149/((1+J149)^J148-1))</f>
        <v>212293.24999555541</v>
      </c>
      <c r="J150" s="746">
        <f>I150</f>
        <v>212293.24999555541</v>
      </c>
      <c r="K150" s="787" t="s">
        <v>445</v>
      </c>
      <c r="L150" s="535" t="b">
        <v>0</v>
      </c>
      <c r="M150" s="415" t="s">
        <v>594</v>
      </c>
    </row>
    <row r="151" spans="1:13" ht="8.25" customHeight="1" x14ac:dyDescent="0.25">
      <c r="A151" s="723"/>
      <c r="B151" s="737"/>
      <c r="C151" s="737"/>
      <c r="D151" s="737"/>
      <c r="E151" s="737"/>
      <c r="F151" s="737"/>
      <c r="H151" s="312"/>
      <c r="I151" s="671"/>
      <c r="J151" s="312"/>
      <c r="K151" s="312"/>
      <c r="L151" s="312"/>
    </row>
    <row r="152" spans="1:13" x14ac:dyDescent="0.25">
      <c r="A152" s="718" t="s">
        <v>595</v>
      </c>
      <c r="B152" s="844"/>
      <c r="H152" s="312"/>
      <c r="I152" s="941"/>
      <c r="L152" s="312"/>
      <c r="M152" s="312"/>
    </row>
    <row r="153" spans="1:13" x14ac:dyDescent="0.25">
      <c r="A153" s="725"/>
      <c r="B153" s="725"/>
      <c r="C153" s="725"/>
      <c r="D153" s="725"/>
      <c r="E153" s="726"/>
      <c r="F153" s="725"/>
      <c r="H153" s="718"/>
      <c r="I153" s="725"/>
      <c r="J153" s="727"/>
      <c r="K153" s="728"/>
      <c r="L153" s="725"/>
      <c r="M153" s="725"/>
    </row>
    <row r="154" spans="1:13" x14ac:dyDescent="0.25">
      <c r="A154" s="845"/>
      <c r="B154" s="730"/>
      <c r="C154" s="730"/>
      <c r="D154" s="730"/>
      <c r="E154" s="730"/>
      <c r="F154" s="730"/>
      <c r="H154" s="730"/>
      <c r="I154" s="725"/>
      <c r="J154" s="730"/>
      <c r="K154" s="730"/>
      <c r="L154" s="725"/>
      <c r="M154" s="725"/>
    </row>
    <row r="155" spans="1:13" x14ac:dyDescent="0.25">
      <c r="A155" s="725"/>
      <c r="B155" s="730"/>
      <c r="C155" s="730"/>
      <c r="D155" s="730"/>
      <c r="E155" s="730"/>
      <c r="F155" s="730"/>
      <c r="H155" s="730"/>
      <c r="I155" s="725"/>
      <c r="J155" s="730"/>
      <c r="K155" s="730"/>
      <c r="L155" s="725"/>
      <c r="M155" s="725"/>
    </row>
    <row r="156" spans="1:13" x14ac:dyDescent="0.2">
      <c r="A156" s="725"/>
      <c r="B156" s="730"/>
      <c r="C156" s="730"/>
      <c r="D156" s="730"/>
      <c r="E156" s="730"/>
      <c r="F156" s="730"/>
      <c r="G156" s="942"/>
      <c r="H156" s="730"/>
      <c r="I156" s="725"/>
      <c r="J156" s="730"/>
      <c r="K156" s="730"/>
      <c r="L156" s="725"/>
      <c r="M156" s="725"/>
    </row>
    <row r="157" spans="1:13" x14ac:dyDescent="0.2">
      <c r="A157" s="725"/>
      <c r="B157" s="730"/>
      <c r="C157" s="730"/>
      <c r="D157" s="730"/>
      <c r="E157" s="730"/>
      <c r="F157" s="730"/>
      <c r="G157" s="942"/>
      <c r="H157" s="730"/>
      <c r="I157" s="725"/>
      <c r="J157" s="730"/>
      <c r="K157" s="730"/>
      <c r="L157" s="725"/>
      <c r="M157" s="725"/>
    </row>
    <row r="158" spans="1:13" x14ac:dyDescent="0.2">
      <c r="A158" s="725"/>
      <c r="B158" s="730"/>
      <c r="C158" s="730"/>
      <c r="D158" s="730"/>
      <c r="E158" s="730"/>
      <c r="F158" s="730"/>
      <c r="G158" s="942"/>
      <c r="H158" s="730"/>
      <c r="I158" s="725"/>
      <c r="J158" s="730"/>
      <c r="K158" s="730"/>
      <c r="L158" s="725"/>
      <c r="M158" s="725"/>
    </row>
    <row r="159" spans="1:13" x14ac:dyDescent="0.2">
      <c r="A159" s="725"/>
      <c r="B159" s="730"/>
      <c r="C159" s="730"/>
      <c r="D159" s="730"/>
      <c r="E159" s="730"/>
      <c r="F159" s="730"/>
      <c r="G159" s="942"/>
      <c r="H159" s="730"/>
      <c r="I159" s="725"/>
      <c r="J159" s="730"/>
      <c r="K159" s="730"/>
      <c r="L159" s="725"/>
      <c r="M159" s="725"/>
    </row>
    <row r="160" spans="1:13" x14ac:dyDescent="0.2">
      <c r="A160" s="725"/>
      <c r="B160" s="730"/>
      <c r="C160" s="730"/>
      <c r="D160" s="730"/>
      <c r="E160" s="730"/>
      <c r="F160" s="730"/>
      <c r="G160" s="942"/>
      <c r="H160" s="730"/>
      <c r="I160" s="725"/>
      <c r="J160" s="730"/>
      <c r="K160" s="730"/>
      <c r="L160" s="725"/>
      <c r="M160" s="725"/>
    </row>
    <row r="161" spans="1:13" x14ac:dyDescent="0.2">
      <c r="A161" s="725"/>
      <c r="B161" s="730"/>
      <c r="C161" s="730"/>
      <c r="D161" s="730"/>
      <c r="E161" s="730"/>
      <c r="F161" s="730"/>
      <c r="G161" s="942"/>
      <c r="H161" s="730"/>
      <c r="I161" s="725"/>
      <c r="J161" s="730"/>
      <c r="K161" s="730"/>
      <c r="L161" s="725"/>
      <c r="M161" s="725"/>
    </row>
    <row r="162" spans="1:13" x14ac:dyDescent="0.2">
      <c r="A162" s="725"/>
      <c r="B162" s="730"/>
      <c r="C162" s="730"/>
      <c r="D162" s="730"/>
      <c r="E162" s="730"/>
      <c r="F162" s="730"/>
      <c r="G162" s="942"/>
      <c r="H162" s="730"/>
      <c r="I162" s="725"/>
      <c r="J162" s="730"/>
      <c r="K162" s="730"/>
      <c r="L162" s="725"/>
      <c r="M162" s="725"/>
    </row>
    <row r="163" spans="1:13" x14ac:dyDescent="0.2">
      <c r="A163" s="725"/>
      <c r="B163" s="730"/>
      <c r="C163" s="730"/>
      <c r="D163" s="730"/>
      <c r="E163" s="730"/>
      <c r="F163" s="730"/>
      <c r="G163" s="942"/>
      <c r="H163" s="730"/>
      <c r="I163" s="725"/>
      <c r="J163" s="730"/>
      <c r="K163" s="730"/>
      <c r="L163" s="725"/>
      <c r="M163" s="725"/>
    </row>
    <row r="164" spans="1:13" x14ac:dyDescent="0.2">
      <c r="A164" s="725"/>
      <c r="B164" s="730"/>
      <c r="C164" s="730"/>
      <c r="D164" s="730"/>
      <c r="E164" s="730"/>
      <c r="F164" s="730"/>
      <c r="G164" s="942"/>
      <c r="H164" s="730"/>
      <c r="I164" s="725"/>
      <c r="J164" s="730"/>
      <c r="K164" s="730"/>
      <c r="L164" s="725"/>
      <c r="M164" s="725"/>
    </row>
    <row r="165" spans="1:13" x14ac:dyDescent="0.2">
      <c r="A165" s="725"/>
      <c r="B165" s="730"/>
      <c r="C165" s="730"/>
      <c r="D165" s="730"/>
      <c r="E165" s="730"/>
      <c r="F165" s="730"/>
      <c r="G165" s="942"/>
      <c r="H165" s="730"/>
      <c r="I165" s="725"/>
      <c r="J165" s="730"/>
      <c r="K165" s="730"/>
      <c r="L165" s="725"/>
      <c r="M165" s="725"/>
    </row>
    <row r="166" spans="1:13" x14ac:dyDescent="0.2">
      <c r="A166" s="725"/>
      <c r="B166" s="730"/>
      <c r="C166" s="730"/>
      <c r="D166" s="730"/>
      <c r="E166" s="730"/>
      <c r="F166" s="730"/>
      <c r="G166" s="942"/>
      <c r="H166" s="730"/>
      <c r="I166" s="725"/>
      <c r="J166" s="730"/>
      <c r="K166" s="730"/>
      <c r="L166" s="725"/>
      <c r="M166" s="725"/>
    </row>
    <row r="167" spans="1:13" x14ac:dyDescent="0.2">
      <c r="A167" s="725"/>
      <c r="B167" s="730"/>
      <c r="C167" s="730"/>
      <c r="D167" s="730"/>
      <c r="E167" s="730"/>
      <c r="F167" s="730"/>
      <c r="G167" s="942"/>
      <c r="H167" s="730"/>
      <c r="I167" s="725"/>
      <c r="J167" s="730"/>
      <c r="K167" s="730"/>
      <c r="L167" s="725"/>
      <c r="M167" s="725"/>
    </row>
    <row r="168" spans="1:13" x14ac:dyDescent="0.2">
      <c r="A168" s="725"/>
      <c r="B168" s="730"/>
      <c r="C168" s="730"/>
      <c r="D168" s="730"/>
      <c r="E168" s="730"/>
      <c r="F168" s="730"/>
      <c r="G168" s="942"/>
      <c r="H168" s="730"/>
      <c r="I168" s="725"/>
      <c r="J168" s="730"/>
      <c r="K168" s="730"/>
      <c r="L168" s="725"/>
      <c r="M168" s="725"/>
    </row>
    <row r="169" spans="1:13" x14ac:dyDescent="0.2">
      <c r="A169" s="725"/>
      <c r="B169" s="730"/>
      <c r="C169" s="730"/>
      <c r="D169" s="730"/>
      <c r="E169" s="730"/>
      <c r="F169" s="730"/>
      <c r="G169" s="942"/>
      <c r="H169" s="730"/>
      <c r="I169" s="725"/>
      <c r="J169" s="730"/>
      <c r="K169" s="730"/>
      <c r="L169" s="725"/>
      <c r="M169" s="725"/>
    </row>
  </sheetData>
  <mergeCells count="8">
    <mergeCell ref="A57:G57"/>
    <mergeCell ref="A65:G65"/>
    <mergeCell ref="A1:G1"/>
    <mergeCell ref="A2:G2"/>
    <mergeCell ref="A3:G3"/>
    <mergeCell ref="A9:G9"/>
    <mergeCell ref="A28:G28"/>
    <mergeCell ref="A43:G43"/>
  </mergeCells>
  <conditionalFormatting sqref="C11:D23 C47:D47 C55:D56 C64:D64 C66:D71 C29:D42 C44:D44 C25:D27">
    <cfRule type="expression" dxfId="100" priority="57">
      <formula>$B11&lt;&gt;""</formula>
    </cfRule>
  </conditionalFormatting>
  <conditionalFormatting sqref="B11:B23 B47 B55:B56 B25:B27 B61:B64 B29:B42 B44 B144:B146 B66:B74 B78:B129 B150 B131:B142">
    <cfRule type="expression" dxfId="99" priority="58">
      <formula>$L11="N/A"</formula>
    </cfRule>
    <cfRule type="expression" dxfId="98" priority="59">
      <formula>AND($L11="Req'd",$B11="")</formula>
    </cfRule>
  </conditionalFormatting>
  <conditionalFormatting sqref="D46">
    <cfRule type="expression" dxfId="97" priority="54">
      <formula>$B46&lt;&gt;""</formula>
    </cfRule>
  </conditionalFormatting>
  <conditionalFormatting sqref="B46">
    <cfRule type="expression" dxfId="96" priority="55">
      <formula>$L46="N/A"</formula>
    </cfRule>
    <cfRule type="expression" dxfId="95" priority="56">
      <formula>AND($L46="Req'd",$B46="")</formula>
    </cfRule>
  </conditionalFormatting>
  <conditionalFormatting sqref="C58:D58 C63:D63">
    <cfRule type="expression" dxfId="94" priority="51">
      <formula>$B58&lt;&gt;""</formula>
    </cfRule>
  </conditionalFormatting>
  <conditionalFormatting sqref="B58:B59">
    <cfRule type="expression" dxfId="93" priority="52">
      <formula>$L58="N/A"</formula>
    </cfRule>
    <cfRule type="expression" dxfId="92" priority="53">
      <formula>AND($L58="Req'd",$B58="")</formula>
    </cfRule>
  </conditionalFormatting>
  <conditionalFormatting sqref="B60">
    <cfRule type="expression" dxfId="91" priority="49">
      <formula>$L60="N/A"</formula>
    </cfRule>
    <cfRule type="expression" dxfId="90" priority="50">
      <formula>AND($L60="Req'd",$B60="")</formula>
    </cfRule>
  </conditionalFormatting>
  <conditionalFormatting sqref="C59">
    <cfRule type="expression" dxfId="89" priority="48">
      <formula>$B59&lt;&gt;""</formula>
    </cfRule>
  </conditionalFormatting>
  <conditionalFormatting sqref="D59">
    <cfRule type="expression" dxfId="88" priority="47">
      <formula>$B59&lt;&gt;""</formula>
    </cfRule>
  </conditionalFormatting>
  <conditionalFormatting sqref="C48">
    <cfRule type="expression" dxfId="87" priority="44">
      <formula>$B48&lt;&gt;""</formula>
    </cfRule>
  </conditionalFormatting>
  <conditionalFormatting sqref="B48">
    <cfRule type="expression" dxfId="86" priority="45">
      <formula>$L48="N/A"</formula>
    </cfRule>
    <cfRule type="expression" dxfId="85" priority="46">
      <formula>AND($L48="Req'd",$B48="")</formula>
    </cfRule>
  </conditionalFormatting>
  <conditionalFormatting sqref="C60:D60">
    <cfRule type="expression" dxfId="84" priority="43">
      <formula>$B60&lt;&gt;""</formula>
    </cfRule>
  </conditionalFormatting>
  <conditionalFormatting sqref="C61:D61">
    <cfRule type="expression" dxfId="83" priority="42">
      <formula>$B61&lt;&gt;""</formula>
    </cfRule>
  </conditionalFormatting>
  <conditionalFormatting sqref="C62:D62">
    <cfRule type="expression" dxfId="82" priority="41">
      <formula>$B62&lt;&gt;""</formula>
    </cfRule>
  </conditionalFormatting>
  <conditionalFormatting sqref="B49">
    <cfRule type="expression" dxfId="81" priority="39">
      <formula>$L49="N/A"</formula>
    </cfRule>
    <cfRule type="expression" dxfId="80" priority="40">
      <formula>AND($L49="Req'd",$B49="")</formula>
    </cfRule>
  </conditionalFormatting>
  <conditionalFormatting sqref="B50">
    <cfRule type="expression" dxfId="79" priority="37">
      <formula>$L50="N/A"</formula>
    </cfRule>
    <cfRule type="expression" dxfId="78" priority="38">
      <formula>AND($L50="Req'd",$B50="")</formula>
    </cfRule>
  </conditionalFormatting>
  <conditionalFormatting sqref="B51:B52">
    <cfRule type="expression" dxfId="77" priority="35">
      <formula>$L51="N/A"</formula>
    </cfRule>
    <cfRule type="expression" dxfId="76" priority="36">
      <formula>AND($L51="Req'd",$B51="")</formula>
    </cfRule>
  </conditionalFormatting>
  <conditionalFormatting sqref="C50">
    <cfRule type="expression" dxfId="75" priority="28">
      <formula>$B50&lt;&gt;""</formula>
    </cfRule>
  </conditionalFormatting>
  <conditionalFormatting sqref="D50">
    <cfRule type="expression" dxfId="74" priority="27">
      <formula>$B50&lt;&gt;""</formula>
    </cfRule>
  </conditionalFormatting>
  <conditionalFormatting sqref="D51:D52">
    <cfRule type="expression" dxfId="73" priority="26">
      <formula>$B51&lt;&gt;""</formula>
    </cfRule>
  </conditionalFormatting>
  <conditionalFormatting sqref="C51">
    <cfRule type="expression" dxfId="72" priority="25">
      <formula>$B51&lt;&gt;""</formula>
    </cfRule>
  </conditionalFormatting>
  <conditionalFormatting sqref="C49">
    <cfRule type="expression" dxfId="71" priority="23">
      <formula>$B49&lt;&gt;""</formula>
    </cfRule>
  </conditionalFormatting>
  <conditionalFormatting sqref="D49">
    <cfRule type="expression" dxfId="70" priority="24">
      <formula>$B49&lt;&gt;""</formula>
    </cfRule>
  </conditionalFormatting>
  <conditionalFormatting sqref="D48">
    <cfRule type="expression" dxfId="69" priority="22">
      <formula>$B48&lt;&gt;""</formula>
    </cfRule>
  </conditionalFormatting>
  <conditionalFormatting sqref="B76:B77">
    <cfRule type="expression" dxfId="68" priority="20">
      <formula>$L76="N/A"</formula>
    </cfRule>
    <cfRule type="expression" dxfId="67" priority="21">
      <formula>AND($L76="Req'd",$B76="")</formula>
    </cfRule>
  </conditionalFormatting>
  <conditionalFormatting sqref="C46">
    <cfRule type="expression" dxfId="66" priority="19">
      <formula>$B46&lt;&gt;""</formula>
    </cfRule>
  </conditionalFormatting>
  <conditionalFormatting sqref="C52">
    <cfRule type="expression" dxfId="65" priority="18">
      <formula>$B52&lt;&gt;""</formula>
    </cfRule>
  </conditionalFormatting>
  <conditionalFormatting sqref="B143">
    <cfRule type="expression" dxfId="64" priority="16">
      <formula>$L143="N/A"</formula>
    </cfRule>
    <cfRule type="expression" dxfId="63" priority="17">
      <formula>AND($L143="Req'd",$B143="")</formula>
    </cfRule>
  </conditionalFormatting>
  <conditionalFormatting sqref="B24">
    <cfRule type="expression" dxfId="62" priority="12">
      <formula>$K24="N/A"</formula>
    </cfRule>
    <cfRule type="expression" dxfId="61" priority="13">
      <formula>AND($K24="Req'd",$B24="")</formula>
    </cfRule>
  </conditionalFormatting>
  <conditionalFormatting sqref="B75">
    <cfRule type="expression" dxfId="60" priority="10">
      <formula>$L75="N/A"</formula>
    </cfRule>
    <cfRule type="expression" dxfId="59" priority="11">
      <formula>AND($L75="Req'd",$B75="")</formula>
    </cfRule>
  </conditionalFormatting>
  <conditionalFormatting sqref="B147:B149">
    <cfRule type="expression" dxfId="58" priority="8">
      <formula>$L147="N/A"</formula>
    </cfRule>
    <cfRule type="expression" dxfId="57" priority="9">
      <formula>AND($L147="Req'd",$B147="")</formula>
    </cfRule>
  </conditionalFormatting>
  <conditionalFormatting sqref="B130">
    <cfRule type="expression" dxfId="56" priority="6">
      <formula>$L130="N/A"</formula>
    </cfRule>
    <cfRule type="expression" dxfId="55" priority="7">
      <formula>AND($L130="Req'd",$B130="")</formula>
    </cfRule>
  </conditionalFormatting>
  <conditionalFormatting sqref="C45:D45">
    <cfRule type="expression" dxfId="54" priority="3">
      <formula>$B45&lt;&gt;""</formula>
    </cfRule>
  </conditionalFormatting>
  <conditionalFormatting sqref="C54:D54">
    <cfRule type="expression" dxfId="53" priority="1">
      <formula>$B54&lt;&gt;""</formula>
    </cfRule>
  </conditionalFormatting>
  <conditionalFormatting sqref="C53:D53">
    <cfRule type="expression" dxfId="52" priority="2">
      <formula>$B53&lt;&gt;""</formula>
    </cfRule>
  </conditionalFormatting>
  <printOptions horizontalCentered="1"/>
  <pageMargins left="0.7" right="0.7" top="0.75" bottom="0.75" header="0.3" footer="0.3"/>
  <pageSetup scale="72" fitToHeight="0" orientation="landscape" verticalDpi="300" r:id="rId1"/>
  <headerFooter alignWithMargins="0">
    <oddHeader>&amp;LAppendix A.5 - BACT Cost Effectiveness (Compressor Driver)&amp;C&amp;"-,Bold"&amp;14LNG BACT ANALYSIS
6th Edition EPA Cost Control Manual</oddHeader>
  </headerFooter>
  <rowBreaks count="2" manualBreakCount="2">
    <brk id="41" max="6" man="1"/>
    <brk id="84" max="6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69"/>
  <sheetViews>
    <sheetView showGridLines="0" topLeftCell="A106" zoomScale="70" zoomScaleNormal="70" zoomScaleSheetLayoutView="100" workbookViewId="0">
      <selection activeCell="G134" sqref="G134"/>
    </sheetView>
  </sheetViews>
  <sheetFormatPr defaultColWidth="9.140625" defaultRowHeight="15" x14ac:dyDescent="0.25"/>
  <cols>
    <col min="1" max="1" width="42" style="308" customWidth="1"/>
    <col min="2" max="2" width="17.140625" style="471" customWidth="1"/>
    <col min="3" max="3" width="14.5703125" style="471" customWidth="1"/>
    <col min="4" max="4" width="11.5703125" style="321" customWidth="1"/>
    <col min="5" max="5" width="12.42578125" style="321" customWidth="1"/>
    <col min="6" max="6" width="24.5703125" style="321" customWidth="1"/>
    <col min="7" max="7" width="48.7109375" style="311" customWidth="1"/>
    <col min="8" max="8" width="12.42578125" style="321" customWidth="1"/>
    <col min="9" max="9" width="12.42578125" style="308" hidden="1" customWidth="1"/>
    <col min="10" max="10" width="12.42578125" style="321" hidden="1" customWidth="1"/>
    <col min="11" max="11" width="17.42578125" style="321" hidden="1" customWidth="1"/>
    <col min="12" max="12" width="12.42578125" style="308" hidden="1" customWidth="1"/>
    <col min="13" max="13" width="30.28515625" style="308" hidden="1" customWidth="1"/>
    <col min="14" max="16384" width="9.140625" style="308"/>
  </cols>
  <sheetData>
    <row r="1" spans="1:13" ht="18.75" x14ac:dyDescent="0.3">
      <c r="A1" s="975" t="s">
        <v>428</v>
      </c>
      <c r="B1" s="975"/>
      <c r="C1" s="975"/>
      <c r="D1" s="975"/>
      <c r="E1" s="975"/>
      <c r="F1" s="975"/>
      <c r="G1" s="975"/>
      <c r="H1" s="307"/>
      <c r="I1" s="307"/>
      <c r="J1" s="307"/>
      <c r="K1" s="307"/>
      <c r="L1" s="307"/>
      <c r="M1" s="307"/>
    </row>
    <row r="2" spans="1:13" ht="18.75" x14ac:dyDescent="0.3">
      <c r="A2" s="975" t="s">
        <v>655</v>
      </c>
      <c r="B2" s="975"/>
      <c r="C2" s="975"/>
      <c r="D2" s="975"/>
      <c r="E2" s="975"/>
      <c r="F2" s="975"/>
      <c r="G2" s="975"/>
      <c r="H2" s="307"/>
      <c r="I2" s="307"/>
      <c r="J2" s="307"/>
      <c r="K2" s="307"/>
      <c r="L2" s="307"/>
      <c r="M2" s="307"/>
    </row>
    <row r="3" spans="1:13" ht="18.75" x14ac:dyDescent="0.3">
      <c r="A3" s="975" t="s">
        <v>639</v>
      </c>
      <c r="B3" s="975"/>
      <c r="C3" s="975"/>
      <c r="D3" s="975"/>
      <c r="E3" s="975"/>
      <c r="F3" s="975"/>
      <c r="G3" s="975"/>
      <c r="H3" s="307"/>
      <c r="I3" s="307"/>
      <c r="J3" s="307"/>
      <c r="K3" s="307"/>
      <c r="L3" s="307"/>
      <c r="M3" s="307"/>
    </row>
    <row r="4" spans="1:13" s="309" customFormat="1" ht="8.25" customHeight="1" x14ac:dyDescent="0.25">
      <c r="B4" s="310"/>
      <c r="C4" s="310"/>
      <c r="G4" s="311"/>
      <c r="H4" s="312"/>
    </row>
    <row r="5" spans="1:13" s="309" customFormat="1" ht="19.5" thickBot="1" x14ac:dyDescent="0.35">
      <c r="A5" s="313" t="s">
        <v>429</v>
      </c>
      <c r="B5" s="314"/>
      <c r="C5" s="314"/>
      <c r="D5" s="315"/>
      <c r="E5" s="315"/>
      <c r="F5" s="315"/>
      <c r="G5" s="316"/>
      <c r="H5" s="312"/>
      <c r="M5" s="307"/>
    </row>
    <row r="6" spans="1:13" s="319" customFormat="1" ht="15.75" thickTop="1" x14ac:dyDescent="0.25">
      <c r="A6" s="308"/>
      <c r="B6" s="317"/>
      <c r="C6" s="318"/>
      <c r="E6" s="320"/>
      <c r="F6" s="320"/>
      <c r="G6" s="311"/>
      <c r="H6" s="321"/>
      <c r="M6" s="322"/>
    </row>
    <row r="7" spans="1:13" s="309" customFormat="1" ht="30" x14ac:dyDescent="0.25">
      <c r="A7" s="323" t="s">
        <v>430</v>
      </c>
      <c r="B7" s="324" t="s">
        <v>431</v>
      </c>
      <c r="C7" s="325" t="s">
        <v>432</v>
      </c>
      <c r="D7" s="326" t="s">
        <v>433</v>
      </c>
      <c r="E7" s="327" t="s">
        <v>434</v>
      </c>
      <c r="F7" s="328"/>
      <c r="G7" s="329" t="s">
        <v>435</v>
      </c>
      <c r="H7" s="321"/>
      <c r="I7" s="330" t="s">
        <v>436</v>
      </c>
      <c r="J7" s="331" t="s">
        <v>437</v>
      </c>
      <c r="K7" s="331" t="s">
        <v>438</v>
      </c>
      <c r="L7" s="331" t="s">
        <v>439</v>
      </c>
      <c r="M7" s="332" t="s">
        <v>395</v>
      </c>
    </row>
    <row r="8" spans="1:13" s="309" customFormat="1" x14ac:dyDescent="0.25">
      <c r="B8" s="310"/>
      <c r="C8" s="310"/>
      <c r="G8" s="311"/>
      <c r="H8" s="312"/>
      <c r="M8" s="333"/>
    </row>
    <row r="9" spans="1:13" s="309" customFormat="1" x14ac:dyDescent="0.25">
      <c r="A9" s="972" t="s">
        <v>440</v>
      </c>
      <c r="B9" s="973"/>
      <c r="C9" s="973"/>
      <c r="D9" s="973"/>
      <c r="E9" s="973"/>
      <c r="F9" s="973"/>
      <c r="G9" s="974"/>
      <c r="H9" s="321"/>
      <c r="M9" s="333"/>
    </row>
    <row r="10" spans="1:13" ht="18.75" x14ac:dyDescent="0.25">
      <c r="A10" s="334" t="s">
        <v>441</v>
      </c>
      <c r="B10" s="335"/>
      <c r="C10" s="335"/>
      <c r="D10" s="336"/>
      <c r="E10" s="336"/>
      <c r="F10" s="336"/>
      <c r="G10" s="337"/>
      <c r="I10" s="338"/>
      <c r="J10" s="339"/>
      <c r="K10" s="340"/>
      <c r="L10" s="341"/>
      <c r="M10" s="342"/>
    </row>
    <row r="11" spans="1:13" x14ac:dyDescent="0.25">
      <c r="A11" s="343" t="s">
        <v>442</v>
      </c>
      <c r="B11" s="344">
        <f>'Compressor (15-2)'!C71/2.47</f>
        <v>2577919.3616968971</v>
      </c>
      <c r="C11" s="345"/>
      <c r="D11" s="346" t="s">
        <v>443</v>
      </c>
      <c r="E11" s="347" t="s">
        <v>1</v>
      </c>
      <c r="F11" s="348"/>
      <c r="G11" s="690" t="s">
        <v>621</v>
      </c>
      <c r="I11" s="350"/>
      <c r="J11" s="351">
        <f>B11</f>
        <v>2577919.3616968971</v>
      </c>
      <c r="K11" s="352" t="s">
        <v>445</v>
      </c>
      <c r="L11" s="353" t="b">
        <f>IF(B11="","Req'd")</f>
        <v>0</v>
      </c>
      <c r="M11" s="354" t="s">
        <v>446</v>
      </c>
    </row>
    <row r="12" spans="1:13" x14ac:dyDescent="0.25">
      <c r="A12" s="355" t="s">
        <v>447</v>
      </c>
      <c r="B12" s="356">
        <v>0</v>
      </c>
      <c r="C12" s="357"/>
      <c r="D12" s="358" t="s">
        <v>443</v>
      </c>
      <c r="E12" s="359" t="s">
        <v>79</v>
      </c>
      <c r="F12" s="360"/>
      <c r="G12" s="683" t="s">
        <v>602</v>
      </c>
      <c r="I12" s="361"/>
      <c r="J12" s="362">
        <f>IF(ISNUMBER(B12),B12,C12)</f>
        <v>0</v>
      </c>
      <c r="K12" s="363" t="s">
        <v>445</v>
      </c>
      <c r="L12" s="353" t="b">
        <f>IF(B12="","Req'd")</f>
        <v>0</v>
      </c>
      <c r="M12" s="354" t="s">
        <v>446</v>
      </c>
    </row>
    <row r="13" spans="1:13" x14ac:dyDescent="0.25">
      <c r="A13" s="364" t="s">
        <v>448</v>
      </c>
      <c r="B13" s="356"/>
      <c r="C13" s="365">
        <f>D13*B11</f>
        <v>257791.93616968972</v>
      </c>
      <c r="D13" s="358">
        <v>0.1</v>
      </c>
      <c r="E13" s="359" t="str">
        <f>"C = "&amp;TEXT(D13,"0.00")&amp;" x A"</f>
        <v>C = 0.10 x A</v>
      </c>
      <c r="F13" s="360"/>
      <c r="G13" s="366" t="s">
        <v>629</v>
      </c>
      <c r="I13" s="350"/>
      <c r="J13" s="367">
        <f>IF(ISNUMBER(B13),B13,C13)</f>
        <v>257791.93616968972</v>
      </c>
      <c r="K13" s="352" t="s">
        <v>445</v>
      </c>
      <c r="L13" s="353"/>
      <c r="M13" s="354"/>
    </row>
    <row r="14" spans="1:13" x14ac:dyDescent="0.25">
      <c r="A14" s="364" t="s">
        <v>450</v>
      </c>
      <c r="B14" s="356"/>
      <c r="C14" s="365">
        <f>D14*(B11+B12)</f>
        <v>128895.96808484486</v>
      </c>
      <c r="D14" s="358">
        <v>0.05</v>
      </c>
      <c r="E14" s="359" t="str">
        <f>"D = "&amp;TEXT(D14,"0.00")&amp;" x (A+B)"</f>
        <v>D = 0.05 x (A+B)</v>
      </c>
      <c r="F14" s="360"/>
      <c r="G14" s="366" t="s">
        <v>629</v>
      </c>
      <c r="I14" s="350"/>
      <c r="J14" s="367">
        <f>IF(ISNUMBER(B14),B14,C14)</f>
        <v>128895.96808484486</v>
      </c>
      <c r="K14" s="352" t="s">
        <v>445</v>
      </c>
      <c r="L14" s="353"/>
      <c r="M14" s="354"/>
    </row>
    <row r="15" spans="1:13" x14ac:dyDescent="0.25">
      <c r="A15" s="364" t="s">
        <v>451</v>
      </c>
      <c r="B15" s="368"/>
      <c r="C15" s="365">
        <f>D15*SUM(J11:J13)</f>
        <v>85071.338935997599</v>
      </c>
      <c r="D15" s="369">
        <v>0.03</v>
      </c>
      <c r="E15" s="359" t="s">
        <v>452</v>
      </c>
      <c r="F15" s="360"/>
      <c r="G15" s="366" t="s">
        <v>629</v>
      </c>
      <c r="I15" s="350"/>
      <c r="J15" s="367">
        <f>IF(ISNUMBER(B15),B15,C15)</f>
        <v>85071.338935997599</v>
      </c>
      <c r="K15" s="352" t="s">
        <v>445</v>
      </c>
      <c r="L15" s="353"/>
      <c r="M15" s="354"/>
    </row>
    <row r="16" spans="1:13" x14ac:dyDescent="0.25">
      <c r="A16" s="370" t="s">
        <v>454</v>
      </c>
      <c r="B16" s="371">
        <f>J16</f>
        <v>3049678.6048874292</v>
      </c>
      <c r="C16" s="372"/>
      <c r="D16" s="373" t="s">
        <v>443</v>
      </c>
      <c r="E16" s="374" t="s">
        <v>455</v>
      </c>
      <c r="F16" s="375"/>
      <c r="G16" s="376"/>
      <c r="I16" s="377"/>
      <c r="J16" s="378">
        <f>SUM(J11:J15)</f>
        <v>3049678.6048874292</v>
      </c>
      <c r="K16" s="379" t="s">
        <v>445</v>
      </c>
      <c r="L16" s="380"/>
      <c r="M16" s="381"/>
    </row>
    <row r="17" spans="1:13" x14ac:dyDescent="0.25">
      <c r="A17" s="334" t="s">
        <v>456</v>
      </c>
      <c r="B17" s="382"/>
      <c r="C17" s="383"/>
      <c r="D17" s="373"/>
      <c r="E17" s="384"/>
      <c r="F17" s="384"/>
      <c r="G17" s="385"/>
      <c r="I17" s="338"/>
      <c r="J17" s="339"/>
      <c r="K17" s="340"/>
      <c r="L17" s="341"/>
      <c r="M17" s="342"/>
    </row>
    <row r="18" spans="1:13" x14ac:dyDescent="0.25">
      <c r="A18" s="343" t="s">
        <v>457</v>
      </c>
      <c r="B18" s="344"/>
      <c r="C18" s="386">
        <f t="shared" ref="C18:C23" si="0">D18*$B$16</f>
        <v>243974.28839099433</v>
      </c>
      <c r="D18" s="346">
        <v>0.08</v>
      </c>
      <c r="E18" s="387" t="str">
        <f t="shared" ref="E18:E23" si="1">TEXT(D18,"0.00")&amp;" x PE"</f>
        <v>0.08 x PE</v>
      </c>
      <c r="F18" s="348"/>
      <c r="G18" s="366" t="s">
        <v>629</v>
      </c>
      <c r="I18" s="350"/>
      <c r="J18" s="367">
        <f t="shared" ref="J18:J23" si="2">IF(ISNUMBER(B18),B18,C18)</f>
        <v>243974.28839099433</v>
      </c>
      <c r="K18" s="352" t="s">
        <v>445</v>
      </c>
      <c r="L18" s="353"/>
      <c r="M18" s="354"/>
    </row>
    <row r="19" spans="1:13" x14ac:dyDescent="0.25">
      <c r="A19" s="364" t="s">
        <v>458</v>
      </c>
      <c r="B19" s="356"/>
      <c r="C19" s="365">
        <f t="shared" si="0"/>
        <v>426955.00468424015</v>
      </c>
      <c r="D19" s="358">
        <v>0.14000000000000001</v>
      </c>
      <c r="E19" s="388" t="str">
        <f t="shared" si="1"/>
        <v>0.14 x PE</v>
      </c>
      <c r="F19" s="360"/>
      <c r="G19" s="366" t="s">
        <v>629</v>
      </c>
      <c r="I19" s="350"/>
      <c r="J19" s="367">
        <f t="shared" si="2"/>
        <v>426955.00468424015</v>
      </c>
      <c r="K19" s="352" t="s">
        <v>445</v>
      </c>
      <c r="L19" s="353"/>
      <c r="M19" s="354"/>
    </row>
    <row r="20" spans="1:13" x14ac:dyDescent="0.25">
      <c r="A20" s="364" t="s">
        <v>459</v>
      </c>
      <c r="B20" s="356"/>
      <c r="C20" s="365">
        <f t="shared" si="0"/>
        <v>121987.14419549717</v>
      </c>
      <c r="D20" s="358">
        <v>0.04</v>
      </c>
      <c r="E20" s="388" t="str">
        <f t="shared" si="1"/>
        <v>0.04 x PE</v>
      </c>
      <c r="F20" s="360"/>
      <c r="G20" s="366" t="s">
        <v>629</v>
      </c>
      <c r="I20" s="350"/>
      <c r="J20" s="367">
        <f>IF(ISNUMBER(B20),B20,C20)</f>
        <v>121987.14419549717</v>
      </c>
      <c r="K20" s="352" t="s">
        <v>445</v>
      </c>
      <c r="L20" s="353"/>
      <c r="M20" s="354"/>
    </row>
    <row r="21" spans="1:13" x14ac:dyDescent="0.25">
      <c r="A21" s="364" t="s">
        <v>460</v>
      </c>
      <c r="B21" s="356"/>
      <c r="C21" s="365">
        <f t="shared" si="0"/>
        <v>60993.572097748583</v>
      </c>
      <c r="D21" s="358">
        <v>0.02</v>
      </c>
      <c r="E21" s="388" t="str">
        <f t="shared" si="1"/>
        <v>0.02 x PE</v>
      </c>
      <c r="F21" s="360"/>
      <c r="G21" s="366" t="s">
        <v>629</v>
      </c>
      <c r="I21" s="350"/>
      <c r="J21" s="367">
        <f t="shared" si="2"/>
        <v>60993.572097748583</v>
      </c>
      <c r="K21" s="352" t="s">
        <v>445</v>
      </c>
      <c r="L21" s="353"/>
      <c r="M21" s="354"/>
    </row>
    <row r="22" spans="1:13" x14ac:dyDescent="0.25">
      <c r="A22" s="364" t="s">
        <v>461</v>
      </c>
      <c r="B22" s="356"/>
      <c r="C22" s="365">
        <f t="shared" si="0"/>
        <v>30496.786048874292</v>
      </c>
      <c r="D22" s="358">
        <v>0.01</v>
      </c>
      <c r="E22" s="388" t="str">
        <f t="shared" si="1"/>
        <v>0.01 x PE</v>
      </c>
      <c r="F22" s="360"/>
      <c r="G22" s="366" t="s">
        <v>629</v>
      </c>
      <c r="I22" s="350"/>
      <c r="J22" s="367">
        <f t="shared" si="2"/>
        <v>30496.786048874292</v>
      </c>
      <c r="K22" s="352" t="s">
        <v>445</v>
      </c>
      <c r="L22" s="353"/>
      <c r="M22" s="354"/>
    </row>
    <row r="23" spans="1:13" x14ac:dyDescent="0.25">
      <c r="A23" s="364" t="s">
        <v>462</v>
      </c>
      <c r="B23" s="356"/>
      <c r="C23" s="365">
        <f t="shared" si="0"/>
        <v>30496.786048874292</v>
      </c>
      <c r="D23" s="358">
        <v>0.01</v>
      </c>
      <c r="E23" s="388" t="str">
        <f t="shared" si="1"/>
        <v>0.01 x PE</v>
      </c>
      <c r="F23" s="360"/>
      <c r="G23" s="366" t="s">
        <v>629</v>
      </c>
      <c r="I23" s="350"/>
      <c r="J23" s="367">
        <f t="shared" si="2"/>
        <v>30496.786048874292</v>
      </c>
      <c r="K23" s="352" t="s">
        <v>445</v>
      </c>
      <c r="L23" s="353"/>
      <c r="M23" s="354"/>
    </row>
    <row r="24" spans="1:13" x14ac:dyDescent="0.25">
      <c r="A24" s="364" t="s">
        <v>463</v>
      </c>
      <c r="B24" s="368">
        <f>D24*(B11+B12)</f>
        <v>180454.35531878282</v>
      </c>
      <c r="C24" s="389"/>
      <c r="D24" s="390">
        <v>7.0000000000000007E-2</v>
      </c>
      <c r="E24" s="388" t="str">
        <f>D24&amp;" x (A+B)"</f>
        <v>0.07 x (A+B)</v>
      </c>
      <c r="F24" s="360"/>
      <c r="G24" s="366" t="s">
        <v>464</v>
      </c>
      <c r="I24" s="391"/>
      <c r="J24" s="392">
        <f>B24</f>
        <v>180454.35531878282</v>
      </c>
      <c r="K24" s="393" t="s">
        <v>445</v>
      </c>
      <c r="L24" s="394" t="b">
        <f>IF(B24="","Req'd")</f>
        <v>0</v>
      </c>
      <c r="M24" s="395"/>
    </row>
    <row r="25" spans="1:13" x14ac:dyDescent="0.25">
      <c r="A25" s="396" t="s">
        <v>465</v>
      </c>
      <c r="B25" s="371">
        <f>J25</f>
        <v>1095357.9367850116</v>
      </c>
      <c r="C25" s="397"/>
      <c r="D25" s="373" t="s">
        <v>443</v>
      </c>
      <c r="E25" s="398" t="s">
        <v>466</v>
      </c>
      <c r="F25" s="399"/>
      <c r="G25" s="376"/>
      <c r="I25" s="400"/>
      <c r="J25" s="401">
        <f>SUM(J18:J24)</f>
        <v>1095357.9367850116</v>
      </c>
      <c r="K25" s="402" t="s">
        <v>445</v>
      </c>
      <c r="L25" s="403"/>
      <c r="M25" s="404"/>
    </row>
    <row r="26" spans="1:13" s="309" customFormat="1" x14ac:dyDescent="0.25">
      <c r="A26" s="405" t="s">
        <v>467</v>
      </c>
      <c r="B26" s="406">
        <f>B25+B16</f>
        <v>4145036.5416724407</v>
      </c>
      <c r="C26" s="407"/>
      <c r="D26" s="408" t="s">
        <v>443</v>
      </c>
      <c r="E26" s="409" t="s">
        <v>468</v>
      </c>
      <c r="F26" s="410"/>
      <c r="G26" s="376"/>
      <c r="H26" s="308"/>
      <c r="I26" s="411"/>
      <c r="J26" s="412">
        <f>SUM(J16,J25)</f>
        <v>4145036.5416724407</v>
      </c>
      <c r="K26" s="413" t="s">
        <v>445</v>
      </c>
      <c r="L26" s="414"/>
      <c r="M26" s="415"/>
    </row>
    <row r="27" spans="1:13" x14ac:dyDescent="0.25">
      <c r="A27" s="416"/>
      <c r="B27" s="417"/>
      <c r="C27" s="418"/>
      <c r="D27" s="419"/>
      <c r="E27" s="420"/>
      <c r="F27" s="420"/>
      <c r="I27" s="421"/>
      <c r="J27" s="422"/>
      <c r="K27" s="423"/>
      <c r="L27" s="424"/>
      <c r="M27" s="425"/>
    </row>
    <row r="28" spans="1:13" s="309" customFormat="1" x14ac:dyDescent="0.25">
      <c r="A28" s="972" t="s">
        <v>469</v>
      </c>
      <c r="B28" s="973"/>
      <c r="C28" s="973"/>
      <c r="D28" s="973"/>
      <c r="E28" s="973"/>
      <c r="F28" s="973"/>
      <c r="G28" s="974"/>
      <c r="H28" s="321"/>
      <c r="M28" s="333"/>
    </row>
    <row r="29" spans="1:13" s="309" customFormat="1" x14ac:dyDescent="0.25">
      <c r="A29" s="426" t="s">
        <v>470</v>
      </c>
      <c r="B29" s="427"/>
      <c r="C29" s="427"/>
      <c r="D29" s="408"/>
      <c r="E29" s="428"/>
      <c r="F29" s="428"/>
      <c r="G29" s="429"/>
      <c r="H29" s="321"/>
      <c r="M29" s="333"/>
    </row>
    <row r="30" spans="1:13" s="309" customFormat="1" x14ac:dyDescent="0.25">
      <c r="A30" s="343" t="s">
        <v>471</v>
      </c>
      <c r="B30" s="430"/>
      <c r="C30" s="386">
        <f>D30*$B$16</f>
        <v>304967.86048874294</v>
      </c>
      <c r="D30" s="346">
        <v>0.1</v>
      </c>
      <c r="E30" s="387" t="str">
        <f>TEXT(D30,"0.00")&amp;" x PE"</f>
        <v>0.10 x PE</v>
      </c>
      <c r="F30" s="348"/>
      <c r="G30" s="366" t="s">
        <v>629</v>
      </c>
      <c r="H30" s="321"/>
      <c r="I30" s="411"/>
      <c r="J30" s="431">
        <f>IF(ISNUMBER(B30),B30,C30)</f>
        <v>304967.86048874294</v>
      </c>
      <c r="K30" s="413" t="s">
        <v>445</v>
      </c>
      <c r="L30" s="432" t="b">
        <v>0</v>
      </c>
      <c r="M30" s="415"/>
    </row>
    <row r="31" spans="1:13" s="309" customFormat="1" x14ac:dyDescent="0.25">
      <c r="A31" s="343" t="s">
        <v>472</v>
      </c>
      <c r="B31" s="430"/>
      <c r="C31" s="386">
        <f>D31*$B$16</f>
        <v>152483.93024437147</v>
      </c>
      <c r="D31" s="346">
        <v>0.05</v>
      </c>
      <c r="E31" s="387" t="str">
        <f>TEXT(D31,"0.00")&amp;" x PE"</f>
        <v>0.05 x PE</v>
      </c>
      <c r="F31" s="348"/>
      <c r="G31" s="366" t="s">
        <v>629</v>
      </c>
      <c r="H31" s="321"/>
      <c r="I31" s="411"/>
      <c r="J31" s="431">
        <f>IF(ISNUMBER(B31),B31,C31)</f>
        <v>152483.93024437147</v>
      </c>
      <c r="K31" s="413" t="s">
        <v>445</v>
      </c>
      <c r="L31" s="432" t="b">
        <v>0</v>
      </c>
      <c r="M31" s="415"/>
    </row>
    <row r="32" spans="1:13" s="309" customFormat="1" x14ac:dyDescent="0.25">
      <c r="A32" s="343" t="s">
        <v>473</v>
      </c>
      <c r="B32" s="430"/>
      <c r="C32" s="386">
        <f>D32*$B$16</f>
        <v>304967.86048874294</v>
      </c>
      <c r="D32" s="346">
        <v>0.1</v>
      </c>
      <c r="E32" s="387" t="str">
        <f>TEXT(D32,"0.00")&amp;" x PE"</f>
        <v>0.10 x PE</v>
      </c>
      <c r="F32" s="348"/>
      <c r="G32" s="366" t="s">
        <v>629</v>
      </c>
      <c r="H32" s="321"/>
      <c r="I32" s="411"/>
      <c r="J32" s="431">
        <f>IF(ISNUMBER(B32),B32,C32)</f>
        <v>304967.86048874294</v>
      </c>
      <c r="K32" s="413" t="s">
        <v>445</v>
      </c>
      <c r="L32" s="432" t="b">
        <v>0</v>
      </c>
      <c r="M32" s="415"/>
    </row>
    <row r="33" spans="1:13" s="309" customFormat="1" x14ac:dyDescent="0.25">
      <c r="A33" s="364" t="s">
        <v>474</v>
      </c>
      <c r="B33" s="433"/>
      <c r="C33" s="365">
        <f>D33*$B$16</f>
        <v>60993.572097748583</v>
      </c>
      <c r="D33" s="358">
        <v>0.02</v>
      </c>
      <c r="E33" s="388" t="str">
        <f>TEXT(D33,"0.00")&amp;" x PE"</f>
        <v>0.02 x PE</v>
      </c>
      <c r="F33" s="360"/>
      <c r="G33" s="366" t="s">
        <v>629</v>
      </c>
      <c r="H33" s="321"/>
      <c r="I33" s="411"/>
      <c r="J33" s="431">
        <f>IF(ISNUMBER(B33),B33,C33)</f>
        <v>60993.572097748583</v>
      </c>
      <c r="K33" s="413" t="s">
        <v>445</v>
      </c>
      <c r="L33" s="432" t="b">
        <v>0</v>
      </c>
      <c r="M33" s="415"/>
    </row>
    <row r="34" spans="1:13" s="309" customFormat="1" x14ac:dyDescent="0.25">
      <c r="A34" s="434" t="s">
        <v>475</v>
      </c>
      <c r="B34" s="435"/>
      <c r="C34" s="436">
        <f>D34*$B$16</f>
        <v>30496.786048874292</v>
      </c>
      <c r="D34" s="437">
        <v>0.01</v>
      </c>
      <c r="E34" s="438" t="str">
        <f>TEXT(D34,"0.00")&amp;" x PE"</f>
        <v>0.01 x PE</v>
      </c>
      <c r="F34" s="439"/>
      <c r="G34" s="366" t="s">
        <v>629</v>
      </c>
      <c r="H34" s="321"/>
      <c r="I34" s="411"/>
      <c r="J34" s="431">
        <f>IF(ISNUMBER(B34),B34,C34)</f>
        <v>30496.786048874292</v>
      </c>
      <c r="K34" s="413" t="s">
        <v>445</v>
      </c>
      <c r="L34" s="432" t="b">
        <v>0</v>
      </c>
      <c r="M34" s="415"/>
    </row>
    <row r="35" spans="1:13" s="309" customFormat="1" x14ac:dyDescent="0.25">
      <c r="A35" s="405" t="s">
        <v>476</v>
      </c>
      <c r="B35" s="440">
        <f>J35</f>
        <v>853910.0093684803</v>
      </c>
      <c r="C35" s="441"/>
      <c r="D35" s="442" t="s">
        <v>443</v>
      </c>
      <c r="E35" s="443" t="s">
        <v>477</v>
      </c>
      <c r="F35" s="444"/>
      <c r="G35" s="376"/>
      <c r="H35" s="321"/>
      <c r="I35" s="411"/>
      <c r="J35" s="412">
        <f>SUM(J30:J34)</f>
        <v>853910.0093684803</v>
      </c>
      <c r="K35" s="413" t="s">
        <v>445</v>
      </c>
      <c r="L35" s="432"/>
      <c r="M35" s="415"/>
    </row>
    <row r="36" spans="1:13" s="309" customFormat="1" x14ac:dyDescent="0.25">
      <c r="B36" s="310"/>
      <c r="C36" s="310"/>
      <c r="G36" s="445"/>
      <c r="H36" s="312"/>
    </row>
    <row r="37" spans="1:13" s="309" customFormat="1" x14ac:dyDescent="0.25">
      <c r="A37" s="426" t="s">
        <v>478</v>
      </c>
      <c r="B37" s="427"/>
      <c r="C37" s="427"/>
      <c r="D37" s="408"/>
      <c r="E37" s="428"/>
      <c r="F37" s="428"/>
      <c r="G37" s="429"/>
      <c r="H37" s="321"/>
      <c r="M37" s="333"/>
    </row>
    <row r="38" spans="1:13" s="453" customFormat="1" x14ac:dyDescent="0.2">
      <c r="A38" s="446" t="s">
        <v>77</v>
      </c>
      <c r="B38" s="447"/>
      <c r="C38" s="448">
        <f>D38*(B26+B35)</f>
        <v>149968.39653122763</v>
      </c>
      <c r="D38" s="449">
        <v>0.03</v>
      </c>
      <c r="E38" s="450" t="str">
        <f>"E = "&amp;TEXT(D38,"0.00") &amp;" x (DC+IC)"</f>
        <v>E = 0.03 x (DC+IC)</v>
      </c>
      <c r="F38" s="451"/>
      <c r="G38" s="366" t="s">
        <v>629</v>
      </c>
      <c r="I38" s="454"/>
      <c r="J38" s="431">
        <f>IF(ISNUMBER(B38),B38,C38)</f>
        <v>149968.39653122763</v>
      </c>
      <c r="K38" s="413" t="s">
        <v>445</v>
      </c>
      <c r="L38" s="432"/>
      <c r="M38" s="455"/>
    </row>
    <row r="39" spans="1:13" s="453" customFormat="1" x14ac:dyDescent="0.25">
      <c r="A39" s="446" t="s">
        <v>86</v>
      </c>
      <c r="B39" s="447"/>
      <c r="C39" s="448">
        <f>D39*SUM(B26,B35,J38)</f>
        <v>154467.44842716446</v>
      </c>
      <c r="D39" s="449">
        <v>0.03</v>
      </c>
      <c r="E39" s="456" t="str">
        <f>"F = "&amp;TEXT(D39,"0.00")&amp;" x (DC+IC+Cont)"</f>
        <v>F = 0.03 x (DC+IC+Cont)</v>
      </c>
      <c r="F39" s="457"/>
      <c r="G39" s="349" t="s">
        <v>480</v>
      </c>
      <c r="I39" s="454"/>
      <c r="J39" s="431">
        <f>IF(ISNUMBER(B39),B39,C39)</f>
        <v>154467.44842716446</v>
      </c>
      <c r="K39" s="413" t="s">
        <v>445</v>
      </c>
      <c r="L39" s="432"/>
      <c r="M39" s="455"/>
    </row>
    <row r="40" spans="1:13" s="453" customFormat="1" x14ac:dyDescent="0.25">
      <c r="A40" s="458" t="s">
        <v>481</v>
      </c>
      <c r="B40" s="459"/>
      <c r="C40" s="460">
        <f>J135*J134</f>
        <v>11035.334990116005</v>
      </c>
      <c r="D40" s="461" t="s">
        <v>443</v>
      </c>
      <c r="E40" s="462" t="s">
        <v>482</v>
      </c>
      <c r="F40" s="463"/>
      <c r="G40" s="464" t="s">
        <v>483</v>
      </c>
      <c r="I40" s="454"/>
      <c r="J40" s="431">
        <f>IF(ISNUMBER(B40),B40,C40)</f>
        <v>11035.334990116005</v>
      </c>
      <c r="K40" s="413" t="s">
        <v>445</v>
      </c>
      <c r="L40" s="432"/>
      <c r="M40" s="465" t="s">
        <v>484</v>
      </c>
    </row>
    <row r="41" spans="1:13" s="453" customFormat="1" ht="15.75" customHeight="1" x14ac:dyDescent="0.25">
      <c r="A41" s="466" t="s">
        <v>43</v>
      </c>
      <c r="B41" s="467">
        <f>J41</f>
        <v>5314417.7309894301</v>
      </c>
      <c r="C41" s="468"/>
      <c r="D41" s="461" t="s">
        <v>443</v>
      </c>
      <c r="E41" s="469" t="s">
        <v>485</v>
      </c>
      <c r="F41" s="470"/>
      <c r="G41" s="376"/>
      <c r="I41" s="454"/>
      <c r="J41" s="412">
        <f>SUM(J26,J35,J38,J39,J40)</f>
        <v>5314417.7309894301</v>
      </c>
      <c r="K41" s="413" t="s">
        <v>445</v>
      </c>
      <c r="L41" s="432"/>
      <c r="M41" s="455"/>
    </row>
    <row r="42" spans="1:13" x14ac:dyDescent="0.25">
      <c r="D42" s="472"/>
      <c r="I42" s="309"/>
      <c r="J42" s="309"/>
      <c r="K42" s="309"/>
      <c r="L42" s="309"/>
      <c r="M42" s="333"/>
    </row>
    <row r="43" spans="1:13" s="309" customFormat="1" x14ac:dyDescent="0.25">
      <c r="A43" s="972" t="s">
        <v>486</v>
      </c>
      <c r="B43" s="973"/>
      <c r="C43" s="973"/>
      <c r="D43" s="973"/>
      <c r="E43" s="973"/>
      <c r="F43" s="973"/>
      <c r="G43" s="974"/>
      <c r="H43" s="473"/>
      <c r="M43" s="333"/>
    </row>
    <row r="44" spans="1:13" s="309" customFormat="1" x14ac:dyDescent="0.25">
      <c r="A44" s="426" t="s">
        <v>487</v>
      </c>
      <c r="B44" s="474"/>
      <c r="C44" s="474"/>
      <c r="D44" s="475"/>
      <c r="E44" s="428"/>
      <c r="F44" s="428"/>
      <c r="G44" s="429"/>
      <c r="H44" s="321"/>
      <c r="M44" s="333"/>
    </row>
    <row r="45" spans="1:13" s="453" customFormat="1" x14ac:dyDescent="0.25">
      <c r="A45" s="476" t="s">
        <v>3</v>
      </c>
      <c r="B45" s="447"/>
      <c r="C45" s="477"/>
      <c r="D45" s="478" t="s">
        <v>443</v>
      </c>
      <c r="E45" s="479"/>
      <c r="F45" s="480"/>
      <c r="G45" s="481" t="s">
        <v>444</v>
      </c>
      <c r="I45" s="454"/>
      <c r="J45" s="431">
        <f t="shared" ref="J45:J54" si="3">IF(ISNUMBER(B45),B45,C45)</f>
        <v>0</v>
      </c>
      <c r="K45" s="431"/>
      <c r="L45" s="353" t="str">
        <f>IF(B45="","Req'd")</f>
        <v>Req'd</v>
      </c>
      <c r="M45" s="354" t="s">
        <v>446</v>
      </c>
    </row>
    <row r="46" spans="1:13" s="453" customFormat="1" x14ac:dyDescent="0.25">
      <c r="A46" s="482" t="s">
        <v>488</v>
      </c>
      <c r="B46" s="483"/>
      <c r="C46" s="484">
        <f>J45*D46</f>
        <v>0</v>
      </c>
      <c r="D46" s="485">
        <v>0.15</v>
      </c>
      <c r="E46" s="486" t="s">
        <v>489</v>
      </c>
      <c r="F46" s="487"/>
      <c r="G46" s="349" t="s">
        <v>490</v>
      </c>
      <c r="I46" s="454"/>
      <c r="J46" s="431">
        <f t="shared" si="3"/>
        <v>0</v>
      </c>
      <c r="K46" s="431"/>
      <c r="L46" s="432"/>
      <c r="M46" s="354" t="s">
        <v>446</v>
      </c>
    </row>
    <row r="47" spans="1:13" s="453" customFormat="1" x14ac:dyDescent="0.25">
      <c r="A47" s="476" t="s">
        <v>491</v>
      </c>
      <c r="B47" s="447"/>
      <c r="C47" s="484">
        <f>B41*D47</f>
        <v>79716.265964841456</v>
      </c>
      <c r="D47" s="488">
        <v>1.4999999999999999E-2</v>
      </c>
      <c r="E47" s="479" t="str">
        <f>TEXT(D47,"0.000")&amp;" x TCI"</f>
        <v>0.015 x TCI</v>
      </c>
      <c r="F47" s="480"/>
      <c r="G47" s="349" t="s">
        <v>492</v>
      </c>
      <c r="I47" s="454"/>
      <c r="J47" s="431">
        <f t="shared" si="3"/>
        <v>79716.265964841456</v>
      </c>
      <c r="K47" s="431"/>
      <c r="L47" s="432"/>
      <c r="M47" s="455"/>
    </row>
    <row r="48" spans="1:13" s="453" customFormat="1" x14ac:dyDescent="0.25">
      <c r="A48" s="476" t="s">
        <v>493</v>
      </c>
      <c r="B48" s="447"/>
      <c r="C48" s="484">
        <f>J47</f>
        <v>79716.265964841456</v>
      </c>
      <c r="D48" s="485" t="s">
        <v>443</v>
      </c>
      <c r="E48" s="486" t="s">
        <v>494</v>
      </c>
      <c r="F48" s="480"/>
      <c r="G48" s="349" t="s">
        <v>495</v>
      </c>
      <c r="I48" s="454"/>
      <c r="J48" s="431">
        <f t="shared" si="3"/>
        <v>79716.265964841456</v>
      </c>
      <c r="K48" s="431"/>
      <c r="L48" s="432"/>
      <c r="M48" s="455"/>
    </row>
    <row r="49" spans="1:13" x14ac:dyDescent="0.25">
      <c r="A49" s="482" t="s">
        <v>496</v>
      </c>
      <c r="B49" s="483"/>
      <c r="C49" s="484">
        <f>J134*J138*J119</f>
        <v>287706.94795659592</v>
      </c>
      <c r="D49" s="485" t="s">
        <v>443</v>
      </c>
      <c r="E49" s="489" t="s">
        <v>497</v>
      </c>
      <c r="F49" s="487"/>
      <c r="G49" s="490" t="s">
        <v>483</v>
      </c>
      <c r="H49" s="308"/>
      <c r="I49" s="454"/>
      <c r="J49" s="431">
        <f t="shared" si="3"/>
        <v>287706.94795659592</v>
      </c>
      <c r="K49" s="431"/>
      <c r="L49" s="432"/>
      <c r="M49" s="491" t="s">
        <v>498</v>
      </c>
    </row>
    <row r="50" spans="1:13" x14ac:dyDescent="0.25">
      <c r="A50" s="492" t="s">
        <v>499</v>
      </c>
      <c r="B50" s="483"/>
      <c r="C50" s="484">
        <f>J123*J130*J119</f>
        <v>425727.73803243769</v>
      </c>
      <c r="D50" s="485" t="s">
        <v>443</v>
      </c>
      <c r="E50" s="493" t="s">
        <v>483</v>
      </c>
      <c r="F50" s="494"/>
      <c r="G50" s="490" t="s">
        <v>483</v>
      </c>
      <c r="H50" s="308"/>
      <c r="I50" s="495"/>
      <c r="J50" s="431">
        <f t="shared" si="3"/>
        <v>425727.73803243769</v>
      </c>
      <c r="K50" s="431"/>
      <c r="L50" s="432"/>
      <c r="M50" s="491" t="s">
        <v>500</v>
      </c>
    </row>
    <row r="51" spans="1:13" x14ac:dyDescent="0.25">
      <c r="A51" s="482" t="s">
        <v>8</v>
      </c>
      <c r="B51" s="483"/>
      <c r="C51" s="496">
        <f>J150</f>
        <v>212293.24999555541</v>
      </c>
      <c r="D51" s="485" t="s">
        <v>443</v>
      </c>
      <c r="E51" s="489" t="s">
        <v>483</v>
      </c>
      <c r="F51" s="487"/>
      <c r="G51" s="490" t="s">
        <v>483</v>
      </c>
      <c r="H51" s="308"/>
      <c r="I51" s="497"/>
      <c r="J51" s="431">
        <f t="shared" si="3"/>
        <v>212293.24999555541</v>
      </c>
      <c r="K51" s="431"/>
      <c r="L51" s="432"/>
      <c r="M51" s="455"/>
    </row>
    <row r="52" spans="1:13" x14ac:dyDescent="0.25">
      <c r="A52" s="482" t="s">
        <v>501</v>
      </c>
      <c r="B52" s="483"/>
      <c r="C52" s="484">
        <f>J51*D52</f>
        <v>21229.324999555542</v>
      </c>
      <c r="D52" s="485">
        <v>0.1</v>
      </c>
      <c r="E52" s="479" t="str">
        <f>TEXT(D52,"0.000")&amp;" x Cat Repl"</f>
        <v>0.100 x Cat Repl</v>
      </c>
      <c r="F52" s="487"/>
      <c r="G52" s="490" t="s">
        <v>502</v>
      </c>
      <c r="H52" s="308"/>
      <c r="I52" s="497"/>
      <c r="J52" s="431">
        <f t="shared" si="3"/>
        <v>21229.324999555542</v>
      </c>
      <c r="K52" s="431"/>
      <c r="L52" s="498"/>
      <c r="M52" s="499"/>
    </row>
    <row r="53" spans="1:13" x14ac:dyDescent="0.25">
      <c r="A53" s="482" t="s">
        <v>503</v>
      </c>
      <c r="B53" s="483"/>
      <c r="C53" s="500"/>
      <c r="D53" s="485" t="s">
        <v>443</v>
      </c>
      <c r="E53" s="489"/>
      <c r="F53" s="487"/>
      <c r="G53" s="349" t="s">
        <v>444</v>
      </c>
      <c r="H53" s="453"/>
      <c r="I53" s="454"/>
      <c r="J53" s="431">
        <f t="shared" si="3"/>
        <v>0</v>
      </c>
      <c r="K53" s="431"/>
      <c r="L53" s="353" t="str">
        <f>IF(B53="","Req'd")</f>
        <v>Req'd</v>
      </c>
      <c r="M53" s="354" t="s">
        <v>446</v>
      </c>
    </row>
    <row r="54" spans="1:13" x14ac:dyDescent="0.25">
      <c r="A54" s="501" t="s">
        <v>504</v>
      </c>
      <c r="B54" s="502"/>
      <c r="C54" s="503"/>
      <c r="D54" s="504" t="s">
        <v>443</v>
      </c>
      <c r="E54" s="505"/>
      <c r="F54" s="506"/>
      <c r="G54" s="507" t="s">
        <v>444</v>
      </c>
      <c r="H54" s="453"/>
      <c r="I54" s="454"/>
      <c r="J54" s="431">
        <f t="shared" si="3"/>
        <v>0</v>
      </c>
      <c r="K54" s="431"/>
      <c r="L54" s="353" t="str">
        <f>IF(B54="","Req'd")</f>
        <v>Req'd</v>
      </c>
      <c r="M54" s="354" t="s">
        <v>446</v>
      </c>
    </row>
    <row r="55" spans="1:13" x14ac:dyDescent="0.25">
      <c r="A55" s="466" t="s">
        <v>104</v>
      </c>
      <c r="B55" s="467">
        <f>J55</f>
        <v>1106389.7929138276</v>
      </c>
      <c r="C55" s="508"/>
      <c r="D55" s="461" t="s">
        <v>443</v>
      </c>
      <c r="E55" s="509" t="s">
        <v>505</v>
      </c>
      <c r="F55" s="444"/>
      <c r="G55" s="376"/>
      <c r="H55" s="308"/>
      <c r="I55" s="454"/>
      <c r="J55" s="412">
        <f>SUM(J45:J54)</f>
        <v>1106389.7929138276</v>
      </c>
      <c r="K55" s="412"/>
      <c r="L55" s="432"/>
      <c r="M55" s="455"/>
    </row>
    <row r="56" spans="1:13" x14ac:dyDescent="0.25">
      <c r="A56" s="510"/>
      <c r="B56" s="511"/>
      <c r="C56" s="511"/>
      <c r="D56" s="512"/>
      <c r="E56" s="513"/>
      <c r="F56" s="514"/>
      <c r="H56" s="308"/>
      <c r="I56" s="515"/>
      <c r="J56" s="423"/>
      <c r="K56" s="423"/>
      <c r="L56" s="424"/>
      <c r="M56" s="516"/>
    </row>
    <row r="57" spans="1:13" s="309" customFormat="1" x14ac:dyDescent="0.25">
      <c r="A57" s="972" t="s">
        <v>106</v>
      </c>
      <c r="B57" s="973"/>
      <c r="C57" s="973"/>
      <c r="D57" s="973"/>
      <c r="E57" s="973"/>
      <c r="F57" s="973"/>
      <c r="G57" s="974"/>
      <c r="H57" s="321"/>
      <c r="M57" s="333"/>
    </row>
    <row r="58" spans="1:13" s="309" customFormat="1" x14ac:dyDescent="0.25">
      <c r="A58" s="426" t="s">
        <v>506</v>
      </c>
      <c r="B58" s="474"/>
      <c r="C58" s="474"/>
      <c r="D58" s="475"/>
      <c r="E58" s="428"/>
      <c r="F58" s="428"/>
      <c r="G58" s="429"/>
      <c r="H58" s="321"/>
      <c r="M58" s="333"/>
    </row>
    <row r="59" spans="1:13" s="453" customFormat="1" x14ac:dyDescent="0.25">
      <c r="A59" s="476" t="s">
        <v>507</v>
      </c>
      <c r="B59" s="517"/>
      <c r="C59" s="484">
        <f>SUM(J45:J48)*D59</f>
        <v>95659.519157809744</v>
      </c>
      <c r="D59" s="488">
        <v>0.6</v>
      </c>
      <c r="E59" s="479" t="str">
        <f>TEXT(D59,"0.000")&amp;" x Op/Super/Maint Labor &amp; Mtls"</f>
        <v>0.600 x Op/Super/Maint Labor &amp; Mtls</v>
      </c>
      <c r="F59" s="480"/>
      <c r="G59" s="452" t="s">
        <v>508</v>
      </c>
      <c r="I59" s="454"/>
      <c r="J59" s="431">
        <f>IF(ISNUMBER(B59),B59,C59)</f>
        <v>95659.519157809744</v>
      </c>
      <c r="K59" s="431"/>
      <c r="L59" s="432"/>
      <c r="M59" s="455"/>
    </row>
    <row r="60" spans="1:13" s="453" customFormat="1" x14ac:dyDescent="0.25">
      <c r="A60" s="482" t="s">
        <v>509</v>
      </c>
      <c r="B60" s="518"/>
      <c r="C60" s="484">
        <f>B41*D60</f>
        <v>53144.177309894301</v>
      </c>
      <c r="D60" s="488">
        <v>0.01</v>
      </c>
      <c r="E60" s="479" t="str">
        <f>TEXT(D60,"0.0000")&amp;" x TCI"</f>
        <v>0.0100 x TCI</v>
      </c>
      <c r="F60" s="480"/>
      <c r="G60" s="349" t="s">
        <v>510</v>
      </c>
      <c r="H60" s="519"/>
      <c r="I60" s="454"/>
      <c r="J60" s="431">
        <f>IF(ISNUMBER(B60),B60,C60)</f>
        <v>53144.177309894301</v>
      </c>
      <c r="K60" s="431"/>
      <c r="L60" s="432"/>
      <c r="M60" s="455"/>
    </row>
    <row r="61" spans="1:13" s="453" customFormat="1" x14ac:dyDescent="0.25">
      <c r="A61" s="476" t="s">
        <v>511</v>
      </c>
      <c r="B61" s="520"/>
      <c r="C61" s="484">
        <f>B41*D61</f>
        <v>53144.177309894301</v>
      </c>
      <c r="D61" s="488">
        <v>0.01</v>
      </c>
      <c r="E61" s="479" t="str">
        <f>TEXT(D61,"0.000")&amp;" x TCI"</f>
        <v>0.010 x TCI</v>
      </c>
      <c r="F61" s="480"/>
      <c r="G61" s="349" t="s">
        <v>510</v>
      </c>
      <c r="I61" s="454"/>
      <c r="J61" s="431">
        <f>IF(ISNUMBER(B61),B61,C61)</f>
        <v>53144.177309894301</v>
      </c>
      <c r="K61" s="431"/>
      <c r="L61" s="432"/>
      <c r="M61" s="455"/>
    </row>
    <row r="62" spans="1:13" x14ac:dyDescent="0.25">
      <c r="A62" s="521" t="s">
        <v>512</v>
      </c>
      <c r="B62" s="522"/>
      <c r="C62" s="523">
        <f>B41*D62</f>
        <v>106288.3546197886</v>
      </c>
      <c r="D62" s="524">
        <v>0.02</v>
      </c>
      <c r="E62" s="505" t="str">
        <f>TEXT(D62,"0.000")&amp;" x TCI"</f>
        <v>0.020 x TCI</v>
      </c>
      <c r="F62" s="506"/>
      <c r="G62" s="507" t="s">
        <v>513</v>
      </c>
      <c r="H62" s="453"/>
      <c r="I62" s="454"/>
      <c r="J62" s="431">
        <f>IF(ISNUMBER(B62),B62,C62)</f>
        <v>106288.3546197886</v>
      </c>
      <c r="K62" s="431"/>
      <c r="L62" s="432"/>
      <c r="M62" s="455"/>
    </row>
    <row r="63" spans="1:13" x14ac:dyDescent="0.25">
      <c r="A63" s="466" t="s">
        <v>514</v>
      </c>
      <c r="B63" s="467">
        <f>J63</f>
        <v>308236.22839738696</v>
      </c>
      <c r="C63" s="508"/>
      <c r="D63" s="461" t="s">
        <v>443</v>
      </c>
      <c r="E63" s="509" t="s">
        <v>505</v>
      </c>
      <c r="F63" s="444"/>
      <c r="G63" s="376"/>
      <c r="H63" s="308"/>
      <c r="I63" s="454"/>
      <c r="J63" s="412">
        <f>SUM(J59:J62)</f>
        <v>308236.22839738696</v>
      </c>
      <c r="K63" s="412"/>
      <c r="L63" s="432"/>
      <c r="M63" s="455"/>
    </row>
    <row r="64" spans="1:13" x14ac:dyDescent="0.25">
      <c r="A64" s="510"/>
      <c r="B64" s="511"/>
      <c r="C64" s="511"/>
      <c r="D64" s="512"/>
      <c r="E64" s="513"/>
      <c r="F64" s="514"/>
      <c r="H64" s="308"/>
      <c r="I64" s="515"/>
      <c r="J64" s="423"/>
      <c r="K64" s="423"/>
      <c r="L64" s="424"/>
      <c r="M64" s="516"/>
    </row>
    <row r="65" spans="1:13" x14ac:dyDescent="0.25">
      <c r="A65" s="972" t="s">
        <v>515</v>
      </c>
      <c r="B65" s="973"/>
      <c r="C65" s="973"/>
      <c r="D65" s="973"/>
      <c r="E65" s="973"/>
      <c r="F65" s="973"/>
      <c r="G65" s="974"/>
      <c r="H65" s="312"/>
      <c r="I65" s="309"/>
      <c r="J65" s="309"/>
      <c r="K65" s="309"/>
      <c r="L65" s="309"/>
      <c r="M65" s="333"/>
    </row>
    <row r="66" spans="1:13" x14ac:dyDescent="0.25">
      <c r="A66" s="525" t="s">
        <v>516</v>
      </c>
      <c r="B66" s="526"/>
      <c r="C66" s="527">
        <v>10</v>
      </c>
      <c r="D66" s="528" t="s">
        <v>443</v>
      </c>
      <c r="E66" s="529" t="s">
        <v>517</v>
      </c>
      <c r="F66" s="530"/>
      <c r="G66" s="531" t="s">
        <v>444</v>
      </c>
      <c r="H66" s="312"/>
      <c r="I66" s="532"/>
      <c r="J66" s="533">
        <f>IF(ISNUMBER(B66),B66,C66)</f>
        <v>10</v>
      </c>
      <c r="K66" s="534" t="s">
        <v>518</v>
      </c>
      <c r="L66" s="535" t="b">
        <v>0</v>
      </c>
      <c r="M66" s="415"/>
    </row>
    <row r="67" spans="1:13" ht="45" x14ac:dyDescent="0.25">
      <c r="A67" s="536" t="s">
        <v>31</v>
      </c>
      <c r="B67" s="537">
        <v>7.0000000000000007E-2</v>
      </c>
      <c r="C67" s="538">
        <v>7.0000000000000007E-2</v>
      </c>
      <c r="D67" s="485" t="s">
        <v>443</v>
      </c>
      <c r="E67" s="539" t="s">
        <v>519</v>
      </c>
      <c r="F67" s="487"/>
      <c r="G67" s="349" t="s">
        <v>394</v>
      </c>
      <c r="H67" s="312"/>
      <c r="I67" s="532"/>
      <c r="J67" s="533">
        <f>IF(ISNUMBER(B67),B67,C67)</f>
        <v>7.0000000000000007E-2</v>
      </c>
      <c r="K67" s="534" t="s">
        <v>520</v>
      </c>
      <c r="L67" s="535" t="b">
        <v>0</v>
      </c>
      <c r="M67" s="415"/>
    </row>
    <row r="68" spans="1:13" ht="15" customHeight="1" x14ac:dyDescent="0.25">
      <c r="A68" s="540" t="s">
        <v>122</v>
      </c>
      <c r="B68" s="541">
        <f>J67/(1-(1+J67)^-J66)</f>
        <v>0.14237750272736471</v>
      </c>
      <c r="C68" s="542"/>
      <c r="D68" s="543" t="s">
        <v>443</v>
      </c>
      <c r="E68" s="544" t="s">
        <v>521</v>
      </c>
      <c r="F68" s="506"/>
      <c r="G68" s="464" t="s">
        <v>443</v>
      </c>
      <c r="I68" s="532"/>
      <c r="J68" s="545"/>
      <c r="K68" s="545"/>
      <c r="L68" s="546"/>
      <c r="M68" s="547"/>
    </row>
    <row r="69" spans="1:13" x14ac:dyDescent="0.25">
      <c r="A69" s="548" t="s">
        <v>28</v>
      </c>
      <c r="B69" s="549">
        <f>B68*B41</f>
        <v>756653.52498830296</v>
      </c>
      <c r="C69" s="550"/>
      <c r="D69" s="461" t="s">
        <v>443</v>
      </c>
      <c r="E69" s="551"/>
      <c r="F69" s="552"/>
      <c r="G69" s="376" t="s">
        <v>522</v>
      </c>
      <c r="H69" s="308"/>
      <c r="I69" s="454"/>
      <c r="J69" s="412">
        <f>IF(ISNUMBER(B69),B69,C69)</f>
        <v>756653.52498830296</v>
      </c>
      <c r="K69" s="412"/>
      <c r="L69" s="432"/>
      <c r="M69" s="465" t="s">
        <v>523</v>
      </c>
    </row>
    <row r="70" spans="1:13" s="309" customFormat="1" x14ac:dyDescent="0.25">
      <c r="B70" s="310"/>
      <c r="C70" s="310"/>
      <c r="D70" s="553"/>
      <c r="G70" s="311"/>
      <c r="H70" s="312"/>
      <c r="M70" s="333"/>
    </row>
    <row r="71" spans="1:13" s="453" customFormat="1" x14ac:dyDescent="0.25">
      <c r="A71" s="548" t="s">
        <v>108</v>
      </c>
      <c r="B71" s="549">
        <f>SUM(B55,B63, B69)</f>
        <v>2171279.5462995176</v>
      </c>
      <c r="C71" s="550"/>
      <c r="D71" s="554" t="s">
        <v>443</v>
      </c>
      <c r="E71" s="555" t="s">
        <v>524</v>
      </c>
      <c r="F71" s="556"/>
      <c r="G71" s="376" t="s">
        <v>525</v>
      </c>
      <c r="I71" s="454"/>
      <c r="J71" s="557">
        <f>SUM(J55,J63, J69)</f>
        <v>2171279.5462995176</v>
      </c>
      <c r="K71" s="557" t="s">
        <v>526</v>
      </c>
      <c r="L71" s="432"/>
      <c r="M71" s="465" t="s">
        <v>527</v>
      </c>
    </row>
    <row r="72" spans="1:13" s="453" customFormat="1" x14ac:dyDescent="0.25">
      <c r="A72" s="558"/>
      <c r="B72" s="559"/>
      <c r="C72" s="560"/>
      <c r="D72" s="561"/>
      <c r="E72" s="562"/>
      <c r="F72" s="563"/>
      <c r="G72" s="311"/>
      <c r="H72" s="564"/>
      <c r="I72" s="565"/>
      <c r="J72" s="562"/>
      <c r="K72" s="562"/>
      <c r="L72" s="565"/>
      <c r="M72" s="565"/>
    </row>
    <row r="73" spans="1:13" s="309" customFormat="1" ht="16.5" thickBot="1" x14ac:dyDescent="0.3">
      <c r="A73" s="313" t="s">
        <v>528</v>
      </c>
      <c r="B73" s="314"/>
      <c r="C73" s="314"/>
      <c r="D73" s="315"/>
      <c r="E73" s="315"/>
      <c r="F73" s="315"/>
      <c r="G73" s="566"/>
      <c r="H73" s="312"/>
    </row>
    <row r="74" spans="1:13" s="571" customFormat="1" ht="15.75" thickTop="1" x14ac:dyDescent="0.25">
      <c r="A74" s="510"/>
      <c r="B74" s="567"/>
      <c r="C74" s="568"/>
      <c r="D74" s="569"/>
      <c r="E74" s="569"/>
      <c r="F74" s="569"/>
      <c r="G74" s="570" t="s">
        <v>435</v>
      </c>
      <c r="H74" s="312"/>
      <c r="I74" s="309"/>
      <c r="J74" s="309"/>
      <c r="K74" s="309"/>
      <c r="L74" s="309"/>
      <c r="M74" s="309"/>
    </row>
    <row r="75" spans="1:13" s="453" customFormat="1" x14ac:dyDescent="0.25">
      <c r="A75" s="572" t="s">
        <v>529</v>
      </c>
      <c r="B75" s="573">
        <f>$J$93*$J$98*$J$119/2000+IF(J94&gt;0,$J$94*$J$103*$J$119/2000)</f>
        <v>280.167029828762</v>
      </c>
      <c r="C75" s="573"/>
      <c r="D75" s="564"/>
      <c r="F75" s="309"/>
      <c r="G75" s="574" t="s">
        <v>530</v>
      </c>
      <c r="H75" s="312"/>
      <c r="I75" s="454"/>
      <c r="J75" s="557"/>
      <c r="K75" s="557"/>
      <c r="L75" s="432"/>
      <c r="M75" s="465"/>
    </row>
    <row r="76" spans="1:13" s="453" customFormat="1" x14ac:dyDescent="0.25">
      <c r="A76" s="575" t="s">
        <v>531</v>
      </c>
      <c r="B76" s="573">
        <f>SUM($J$93:$J$94)*J108*$J$119/2000</f>
        <v>37.355603977168272</v>
      </c>
      <c r="C76" s="576"/>
      <c r="D76" s="564"/>
      <c r="F76" s="577"/>
      <c r="G76" s="574" t="s">
        <v>530</v>
      </c>
      <c r="H76" s="564"/>
      <c r="I76" s="454"/>
      <c r="J76" s="557"/>
      <c r="K76" s="557"/>
      <c r="L76" s="432"/>
      <c r="M76" s="465"/>
    </row>
    <row r="77" spans="1:13" s="453" customFormat="1" x14ac:dyDescent="0.25">
      <c r="A77" s="578" t="s">
        <v>532</v>
      </c>
      <c r="B77" s="579">
        <f>B75-B76</f>
        <v>242.81142585159373</v>
      </c>
      <c r="C77" s="579"/>
      <c r="D77" s="564"/>
      <c r="F77" s="309"/>
      <c r="G77" s="574" t="s">
        <v>530</v>
      </c>
      <c r="H77" s="312"/>
      <c r="I77" s="454"/>
      <c r="J77" s="557"/>
      <c r="K77" s="557"/>
      <c r="L77" s="432"/>
      <c r="M77" s="465"/>
    </row>
    <row r="78" spans="1:13" s="453" customFormat="1" x14ac:dyDescent="0.25">
      <c r="A78" s="581"/>
      <c r="B78" s="582"/>
      <c r="C78" s="580"/>
      <c r="D78" s="564"/>
      <c r="F78" s="309"/>
      <c r="G78" s="311"/>
      <c r="H78" s="312"/>
      <c r="I78" s="565"/>
      <c r="J78" s="309"/>
      <c r="K78" s="309"/>
      <c r="L78" s="565"/>
      <c r="M78" s="565"/>
    </row>
    <row r="79" spans="1:13" s="453" customFormat="1" x14ac:dyDescent="0.25">
      <c r="A79" s="583" t="s">
        <v>108</v>
      </c>
      <c r="B79" s="584">
        <f>B71</f>
        <v>2171279.5462995176</v>
      </c>
      <c r="C79" s="700"/>
      <c r="D79" s="564"/>
      <c r="F79" s="309"/>
      <c r="G79" s="574" t="s">
        <v>533</v>
      </c>
      <c r="H79" s="312"/>
      <c r="I79" s="454"/>
      <c r="J79" s="557"/>
      <c r="K79" s="557"/>
      <c r="L79" s="432"/>
      <c r="M79" s="465"/>
    </row>
    <row r="80" spans="1:13" s="453" customFormat="1" x14ac:dyDescent="0.25">
      <c r="A80" s="585" t="s">
        <v>534</v>
      </c>
      <c r="B80" s="586">
        <f>IF(B77=0,"",B79/B77)</f>
        <v>8942.2461841915265</v>
      </c>
      <c r="C80" s="586"/>
      <c r="D80" s="309"/>
      <c r="G80" s="574" t="s">
        <v>535</v>
      </c>
      <c r="H80" s="587"/>
      <c r="I80" s="454"/>
      <c r="J80" s="557"/>
      <c r="K80" s="557"/>
      <c r="L80" s="432"/>
      <c r="M80" s="465"/>
    </row>
    <row r="81" spans="1:13" s="453" customFormat="1" hidden="1" x14ac:dyDescent="0.25">
      <c r="A81" s="588" t="s">
        <v>536</v>
      </c>
      <c r="B81" s="589"/>
      <c r="C81" s="590"/>
      <c r="D81" s="563"/>
      <c r="F81" s="563"/>
      <c r="G81" s="311"/>
      <c r="H81" s="564"/>
      <c r="I81" s="454"/>
      <c r="J81" s="557"/>
      <c r="K81" s="557"/>
      <c r="L81" s="414" t="str">
        <f>IF(B81="","Req'd")</f>
        <v>Req'd</v>
      </c>
      <c r="M81" s="465"/>
    </row>
    <row r="82" spans="1:13" s="453" customFormat="1" hidden="1" x14ac:dyDescent="0.25">
      <c r="A82" s="591"/>
      <c r="B82" s="592"/>
      <c r="C82" s="590"/>
      <c r="D82" s="563"/>
      <c r="F82" s="563"/>
      <c r="G82" s="311"/>
      <c r="H82" s="564"/>
      <c r="I82" s="565"/>
      <c r="J82" s="562"/>
      <c r="K82" s="562"/>
      <c r="L82" s="565"/>
      <c r="M82" s="565"/>
    </row>
    <row r="83" spans="1:13" s="453" customFormat="1" hidden="1" x14ac:dyDescent="0.25">
      <c r="A83" s="593" t="s">
        <v>537</v>
      </c>
      <c r="B83" s="594"/>
      <c r="C83" s="595"/>
      <c r="D83" s="596"/>
      <c r="E83" s="597"/>
      <c r="F83" s="598"/>
      <c r="G83" s="311"/>
      <c r="H83" s="564"/>
      <c r="I83" s="565"/>
      <c r="J83" s="562"/>
      <c r="K83" s="562"/>
      <c r="L83" s="565"/>
      <c r="M83" s="565"/>
    </row>
    <row r="84" spans="1:13" s="453" customFormat="1" ht="15.75" hidden="1" thickBot="1" x14ac:dyDescent="0.3">
      <c r="A84" s="599" t="str">
        <f>IF(B80="","TBD",IF(B80&gt;B81,"Project costs exceed BACT cost effectiveness threshold and may not be considered cost effective.","Project may be considered cost effective."))</f>
        <v>Project costs exceed BACT cost effectiveness threshold and may not be considered cost effective.</v>
      </c>
      <c r="B84" s="600"/>
      <c r="C84" s="601"/>
      <c r="D84" s="602"/>
      <c r="E84" s="602"/>
      <c r="F84" s="603"/>
      <c r="G84" s="311"/>
      <c r="H84" s="564"/>
      <c r="I84" s="565"/>
      <c r="J84" s="562"/>
      <c r="K84" s="562"/>
      <c r="L84" s="565"/>
      <c r="M84" s="565"/>
    </row>
    <row r="85" spans="1:13" s="453" customFormat="1" x14ac:dyDescent="0.25">
      <c r="A85" s="558"/>
      <c r="B85" s="590"/>
      <c r="C85" s="559"/>
      <c r="D85" s="562"/>
      <c r="E85" s="562"/>
      <c r="F85" s="563"/>
      <c r="G85" s="311"/>
      <c r="H85" s="564"/>
      <c r="I85" s="565"/>
      <c r="J85" s="562"/>
      <c r="K85" s="562"/>
      <c r="L85" s="565"/>
      <c r="M85" s="565"/>
    </row>
    <row r="86" spans="1:13" s="309" customFormat="1" ht="16.5" thickBot="1" x14ac:dyDescent="0.3">
      <c r="A86" s="313" t="s">
        <v>538</v>
      </c>
      <c r="B86" s="314"/>
      <c r="C86" s="314"/>
      <c r="D86" s="315"/>
      <c r="E86" s="315"/>
      <c r="F86" s="315"/>
      <c r="G86" s="604"/>
      <c r="H86" s="312"/>
    </row>
    <row r="87" spans="1:13" ht="15.75" thickTop="1" x14ac:dyDescent="0.25">
      <c r="H87" s="312"/>
      <c r="J87" s="308"/>
      <c r="K87" s="308"/>
      <c r="M87" s="309"/>
    </row>
    <row r="88" spans="1:13" x14ac:dyDescent="0.25">
      <c r="A88" s="308" t="s">
        <v>539</v>
      </c>
      <c r="H88" s="312"/>
      <c r="I88" s="309"/>
      <c r="J88" s="309"/>
      <c r="K88" s="309"/>
      <c r="L88" s="309"/>
      <c r="M88" s="309"/>
    </row>
    <row r="89" spans="1:13" x14ac:dyDescent="0.25">
      <c r="A89" s="308" t="s">
        <v>540</v>
      </c>
      <c r="H89" s="312"/>
      <c r="I89" s="309"/>
      <c r="J89" s="309"/>
      <c r="K89" s="309"/>
      <c r="L89" s="309"/>
      <c r="M89" s="309"/>
    </row>
    <row r="90" spans="1:13" ht="8.25" customHeight="1" x14ac:dyDescent="0.25">
      <c r="H90" s="312"/>
      <c r="I90" s="309"/>
      <c r="J90" s="309"/>
      <c r="K90" s="309"/>
      <c r="L90" s="309"/>
      <c r="M90" s="309"/>
    </row>
    <row r="91" spans="1:13" x14ac:dyDescent="0.25">
      <c r="A91" s="605" t="s">
        <v>541</v>
      </c>
      <c r="B91" s="606"/>
      <c r="C91" s="606"/>
      <c r="D91" s="607"/>
      <c r="E91" s="607"/>
      <c r="F91" s="607"/>
      <c r="G91" s="608"/>
      <c r="H91" s="312"/>
      <c r="I91" s="330" t="s">
        <v>436</v>
      </c>
      <c r="J91" s="331" t="s">
        <v>437</v>
      </c>
      <c r="K91" s="609" t="s">
        <v>438</v>
      </c>
      <c r="L91" s="331" t="s">
        <v>439</v>
      </c>
      <c r="M91" s="332" t="s">
        <v>395</v>
      </c>
    </row>
    <row r="92" spans="1:13" x14ac:dyDescent="0.25">
      <c r="A92" s="610"/>
      <c r="B92" s="611"/>
      <c r="C92" s="611"/>
      <c r="D92" s="612"/>
      <c r="E92" s="612"/>
      <c r="F92" s="612"/>
      <c r="G92" s="570" t="s">
        <v>435</v>
      </c>
      <c r="H92" s="312"/>
      <c r="I92" s="330"/>
      <c r="J92" s="331"/>
      <c r="K92" s="609"/>
      <c r="L92" s="331"/>
      <c r="M92" s="613"/>
    </row>
    <row r="93" spans="1:13" x14ac:dyDescent="0.25">
      <c r="A93" s="308" t="s">
        <v>542</v>
      </c>
      <c r="B93" s="614">
        <v>1164</v>
      </c>
      <c r="C93" s="615" t="s">
        <v>53</v>
      </c>
      <c r="D93" s="616"/>
      <c r="G93" s="617"/>
      <c r="H93" s="312"/>
      <c r="I93" s="618"/>
      <c r="J93" s="545">
        <f>B93</f>
        <v>1164</v>
      </c>
      <c r="K93" s="619" t="s">
        <v>53</v>
      </c>
      <c r="L93" s="620" t="b">
        <f>IF(B93="","Req'd")</f>
        <v>0</v>
      </c>
      <c r="M93" s="621"/>
    </row>
    <row r="94" spans="1:13" x14ac:dyDescent="0.25">
      <c r="A94" s="308" t="s">
        <v>543</v>
      </c>
      <c r="B94" s="614"/>
      <c r="C94" s="615" t="s">
        <v>53</v>
      </c>
      <c r="D94" s="616"/>
      <c r="G94" s="574"/>
      <c r="H94" s="312"/>
      <c r="I94" s="618"/>
      <c r="J94" s="545">
        <f>B94</f>
        <v>0</v>
      </c>
      <c r="K94" s="619" t="s">
        <v>53</v>
      </c>
      <c r="L94" s="620" t="b">
        <v>0</v>
      </c>
      <c r="M94" s="621"/>
    </row>
    <row r="95" spans="1:13" s="571" customFormat="1" ht="8.25" customHeight="1" x14ac:dyDescent="0.25">
      <c r="B95" s="611"/>
      <c r="C95" s="611"/>
      <c r="D95" s="612"/>
      <c r="E95" s="612"/>
      <c r="F95" s="612"/>
      <c r="G95" s="311"/>
      <c r="H95" s="421"/>
      <c r="I95" s="623"/>
      <c r="J95" s="623"/>
      <c r="K95" s="623"/>
      <c r="L95" s="624"/>
      <c r="M95" s="625"/>
    </row>
    <row r="96" spans="1:13" x14ac:dyDescent="0.25">
      <c r="A96" s="605" t="s">
        <v>544</v>
      </c>
      <c r="B96" s="606"/>
      <c r="C96" s="606"/>
      <c r="D96" s="607"/>
      <c r="E96" s="607"/>
      <c r="F96" s="607"/>
      <c r="G96" s="608"/>
      <c r="H96" s="312"/>
      <c r="I96" s="309"/>
      <c r="J96" s="309"/>
      <c r="K96" s="309"/>
      <c r="L96" s="626"/>
      <c r="M96" s="333"/>
    </row>
    <row r="97" spans="1:13" x14ac:dyDescent="0.25">
      <c r="A97" s="610"/>
      <c r="B97" s="611"/>
      <c r="C97" s="611"/>
      <c r="D97" s="612"/>
      <c r="E97" s="612"/>
      <c r="F97" s="612"/>
      <c r="G97" s="570" t="s">
        <v>435</v>
      </c>
      <c r="H97" s="312"/>
      <c r="I97" s="309"/>
      <c r="J97" s="309"/>
      <c r="K97" s="309"/>
      <c r="L97" s="626"/>
      <c r="M97" s="333"/>
    </row>
    <row r="98" spans="1:13" x14ac:dyDescent="0.25">
      <c r="A98" s="308" t="s">
        <v>545</v>
      </c>
      <c r="B98" s="622"/>
      <c r="C98" s="615" t="s">
        <v>546</v>
      </c>
      <c r="D98" s="616"/>
      <c r="G98" s="574"/>
      <c r="H98" s="312"/>
      <c r="I98" s="627">
        <f>B98</f>
        <v>0</v>
      </c>
      <c r="J98" s="628">
        <f>IF(ISNUMBER(B98),I98,IF(ISNUMBER(B99),I99,IF(ISNUMBER(B100),I100,I101)))</f>
        <v>5.4952813834510582E-2</v>
      </c>
      <c r="K98" s="619" t="s">
        <v>113</v>
      </c>
      <c r="L98" s="620" t="str">
        <f>IF(OR(B99&lt;&gt;"",B100&lt;&gt;""),"N/A")</f>
        <v>N/A</v>
      </c>
      <c r="M98" s="621"/>
    </row>
    <row r="99" spans="1:13" x14ac:dyDescent="0.25">
      <c r="A99" s="629" t="s">
        <v>547</v>
      </c>
      <c r="B99" s="622"/>
      <c r="C99" s="615" t="s">
        <v>548</v>
      </c>
      <c r="D99" s="616"/>
      <c r="G99" s="574"/>
      <c r="H99" s="312"/>
      <c r="I99" s="627">
        <f>B99/$J$114</f>
        <v>0</v>
      </c>
      <c r="J99" s="630"/>
      <c r="K99" s="631"/>
      <c r="L99" s="620" t="str">
        <f>IF(OR(B98&lt;&gt;"",B100&lt;&gt;""),"N/A")</f>
        <v>N/A</v>
      </c>
      <c r="M99" s="621"/>
    </row>
    <row r="100" spans="1:13" x14ac:dyDescent="0.25">
      <c r="A100" s="629" t="s">
        <v>547</v>
      </c>
      <c r="B100" s="685">
        <f>15</f>
        <v>15</v>
      </c>
      <c r="C100" s="615" t="s">
        <v>549</v>
      </c>
      <c r="D100" s="616"/>
      <c r="G100" s="574" t="s">
        <v>550</v>
      </c>
      <c r="H100" s="312"/>
      <c r="I100" s="627">
        <f>B100*1.194*10^-7*J$115*(20.946/(20.946-15))</f>
        <v>5.4952813834510582E-2</v>
      </c>
      <c r="J100" s="630"/>
      <c r="K100" s="631"/>
      <c r="L100" s="620" t="b">
        <f>IF(OR(B98&lt;&gt;"",B99&lt;&gt;""),"N/A")</f>
        <v>0</v>
      </c>
      <c r="M100" s="621"/>
    </row>
    <row r="101" spans="1:13" x14ac:dyDescent="0.25">
      <c r="A101" s="629" t="s">
        <v>551</v>
      </c>
      <c r="B101" s="632"/>
      <c r="C101" s="615" t="s">
        <v>549</v>
      </c>
      <c r="D101" s="616"/>
      <c r="G101" s="574"/>
      <c r="H101" s="312"/>
      <c r="I101" s="627">
        <f>B101*1.194*10^-7*J$115*(20.946/(20.946-15))</f>
        <v>0</v>
      </c>
      <c r="J101" s="630"/>
      <c r="K101" s="631"/>
      <c r="L101" s="620" t="str">
        <f>IF(COUNTA(B98:B100)&gt;0,"N/A")</f>
        <v>N/A</v>
      </c>
      <c r="M101" s="621"/>
    </row>
    <row r="102" spans="1:13" x14ac:dyDescent="0.25">
      <c r="H102" s="312"/>
      <c r="I102" s="309"/>
      <c r="J102" s="309"/>
      <c r="K102" s="309"/>
      <c r="L102" s="626"/>
      <c r="M102" s="333"/>
    </row>
    <row r="103" spans="1:13" x14ac:dyDescent="0.25">
      <c r="A103" s="308" t="s">
        <v>552</v>
      </c>
      <c r="B103" s="685"/>
      <c r="C103" s="615" t="s">
        <v>546</v>
      </c>
      <c r="D103" s="616"/>
      <c r="G103" s="574"/>
      <c r="H103" s="312"/>
      <c r="I103" s="627">
        <f>B103</f>
        <v>0</v>
      </c>
      <c r="J103" s="628">
        <f>IF(ISNUMBER(B103),I103,IF(ISNUMBER(B104),I104,IF(ISNUMBER(B105),I105,I106)))</f>
        <v>0</v>
      </c>
      <c r="K103" s="619" t="s">
        <v>113</v>
      </c>
      <c r="L103" s="620" t="str">
        <f>IF($J$94=0,"N/A",IF(OR(B104&lt;&gt;"",B105&lt;&gt;""),"N/A"))</f>
        <v>N/A</v>
      </c>
      <c r="M103" s="621"/>
    </row>
    <row r="104" spans="1:13" x14ac:dyDescent="0.25">
      <c r="A104" s="629" t="s">
        <v>547</v>
      </c>
      <c r="B104" s="622"/>
      <c r="C104" s="615" t="s">
        <v>548</v>
      </c>
      <c r="D104" s="616"/>
      <c r="G104" s="574"/>
      <c r="H104" s="312"/>
      <c r="I104" s="627">
        <f>B104/$J$114</f>
        <v>0</v>
      </c>
      <c r="J104" s="630"/>
      <c r="K104" s="631"/>
      <c r="L104" s="620" t="str">
        <f>IF($J$94=0,"N/A",IF(OR(B103&lt;&gt;"",B105&lt;&gt;""),"N/A"))</f>
        <v>N/A</v>
      </c>
      <c r="M104" s="621"/>
    </row>
    <row r="105" spans="1:13" x14ac:dyDescent="0.25">
      <c r="A105" s="629" t="s">
        <v>547</v>
      </c>
      <c r="B105" s="622"/>
      <c r="C105" s="615" t="s">
        <v>553</v>
      </c>
      <c r="D105" s="616"/>
      <c r="G105" s="574"/>
      <c r="H105" s="312"/>
      <c r="I105" s="627">
        <f>B105*1.194*10^-7*J$115*(20.946/(20.946-3))</f>
        <v>0</v>
      </c>
      <c r="J105" s="630"/>
      <c r="K105" s="631"/>
      <c r="L105" s="620" t="str">
        <f>IF($J$94=0,"N/A",IF(OR(B103&lt;&gt;"",B104&lt;&gt;""),"N/A"))</f>
        <v>N/A</v>
      </c>
      <c r="M105" s="621"/>
    </row>
    <row r="106" spans="1:13" x14ac:dyDescent="0.25">
      <c r="A106" s="629" t="s">
        <v>551</v>
      </c>
      <c r="B106" s="632"/>
      <c r="C106" s="615" t="s">
        <v>553</v>
      </c>
      <c r="D106" s="616"/>
      <c r="G106" s="574"/>
      <c r="H106" s="312"/>
      <c r="I106" s="627">
        <f>B106*1.194*10^-7*J$115*(20.946/(20.946-3))</f>
        <v>0</v>
      </c>
      <c r="J106" s="630"/>
      <c r="K106" s="631"/>
      <c r="L106" s="620" t="str">
        <f>IF($J$94=0,"N/A",IF(COUNTA(B103:B105)&gt;0,"N/A"))</f>
        <v>N/A</v>
      </c>
      <c r="M106" s="621"/>
    </row>
    <row r="107" spans="1:13" x14ac:dyDescent="0.25">
      <c r="H107" s="312"/>
      <c r="I107" s="309"/>
      <c r="J107" s="309"/>
      <c r="K107" s="309"/>
      <c r="L107" s="626"/>
      <c r="M107" s="333"/>
    </row>
    <row r="108" spans="1:13" x14ac:dyDescent="0.25">
      <c r="A108" s="308" t="s">
        <v>554</v>
      </c>
      <c r="B108" s="622"/>
      <c r="C108" s="615" t="s">
        <v>546</v>
      </c>
      <c r="D108" s="616"/>
      <c r="G108" s="574"/>
      <c r="H108" s="312"/>
      <c r="I108" s="627">
        <f>B108</f>
        <v>0</v>
      </c>
      <c r="J108" s="628">
        <f>IF(ISNUMBER(B108),I108,IF(ISNUMBER(B109),I109,I110))</f>
        <v>7.3270418446014108E-3</v>
      </c>
      <c r="K108" s="619" t="s">
        <v>113</v>
      </c>
      <c r="L108" s="620" t="str">
        <f>IF(COUNTA(B108:B110)=0,"Req'd",IF(OR(B109&lt;&gt;"",B110&lt;&gt;""),"N/A"))</f>
        <v>N/A</v>
      </c>
      <c r="M108" s="621"/>
    </row>
    <row r="109" spans="1:13" x14ac:dyDescent="0.25">
      <c r="A109" s="629" t="s">
        <v>547</v>
      </c>
      <c r="B109" s="622"/>
      <c r="C109" s="615" t="s">
        <v>548</v>
      </c>
      <c r="D109" s="616"/>
      <c r="G109" s="574"/>
      <c r="H109" s="312"/>
      <c r="I109" s="627">
        <f>B109/$J$114</f>
        <v>0</v>
      </c>
      <c r="J109" s="630"/>
      <c r="K109" s="631"/>
      <c r="L109" s="620" t="str">
        <f>IF(COUNTA(B108:B110)=0,"Req'd",IF(OR(B108&lt;&gt;"",B110&lt;&gt;""),"N/A"))</f>
        <v>N/A</v>
      </c>
      <c r="M109" s="621"/>
    </row>
    <row r="110" spans="1:13" x14ac:dyDescent="0.25">
      <c r="A110" s="629" t="s">
        <v>547</v>
      </c>
      <c r="B110" s="622">
        <v>2</v>
      </c>
      <c r="C110" s="615" t="s">
        <v>549</v>
      </c>
      <c r="D110" s="616"/>
      <c r="G110" s="617" t="s">
        <v>555</v>
      </c>
      <c r="H110" s="312"/>
      <c r="I110" s="627">
        <f>B110*1.194*10^-7*J$115*(20.946/(20.946-15))</f>
        <v>7.3270418446014108E-3</v>
      </c>
      <c r="J110" s="630"/>
      <c r="K110" s="631"/>
      <c r="L110" s="620" t="b">
        <f>IF(COUNTA(B108:B110)=0,"Req'd",IF(OR(B108&lt;&gt;"",B109&lt;&gt;""),"N/A"))</f>
        <v>0</v>
      </c>
      <c r="M110" s="621"/>
    </row>
    <row r="111" spans="1:13" ht="8.25" customHeight="1" x14ac:dyDescent="0.25">
      <c r="A111" s="571"/>
      <c r="B111" s="611"/>
      <c r="C111" s="611"/>
      <c r="D111" s="612"/>
      <c r="E111" s="612"/>
      <c r="F111" s="612"/>
      <c r="H111" s="312"/>
      <c r="I111" s="309"/>
      <c r="J111" s="309"/>
      <c r="K111" s="309"/>
      <c r="L111" s="626"/>
      <c r="M111" s="333"/>
    </row>
    <row r="112" spans="1:13" x14ac:dyDescent="0.25">
      <c r="A112" s="605" t="s">
        <v>556</v>
      </c>
      <c r="B112" s="606"/>
      <c r="C112" s="606"/>
      <c r="D112" s="607"/>
      <c r="E112" s="607"/>
      <c r="F112" s="607"/>
      <c r="G112" s="608"/>
      <c r="H112" s="312"/>
      <c r="I112" s="309"/>
      <c r="J112" s="309"/>
      <c r="K112" s="309"/>
      <c r="L112" s="626"/>
      <c r="M112" s="333"/>
    </row>
    <row r="113" spans="1:14" x14ac:dyDescent="0.25">
      <c r="A113" s="610"/>
      <c r="B113" s="611"/>
      <c r="C113" s="611"/>
      <c r="D113" s="612"/>
      <c r="E113" s="612"/>
      <c r="F113" s="612"/>
      <c r="G113" s="570" t="s">
        <v>435</v>
      </c>
      <c r="H113" s="312"/>
      <c r="I113" s="309"/>
      <c r="J113" s="309"/>
      <c r="K113" s="309"/>
      <c r="L113" s="626"/>
      <c r="M113" s="333"/>
    </row>
    <row r="114" spans="1:14" x14ac:dyDescent="0.25">
      <c r="A114" s="308" t="str">
        <f>"HHV  [Default: "&amp;I114&amp;" " &amp; C114&amp;"]"</f>
        <v>HHV  [Default: 1050 Btu/scf]</v>
      </c>
      <c r="B114" s="622">
        <f>'LNG Fuel'!C33</f>
        <v>1087</v>
      </c>
      <c r="C114" s="615" t="s">
        <v>181</v>
      </c>
      <c r="D114" s="616"/>
      <c r="G114" s="633"/>
      <c r="H114" s="312"/>
      <c r="I114" s="634">
        <v>1050</v>
      </c>
      <c r="J114" s="545">
        <f>IF(ISNUMBER(B114),B114,I114)</f>
        <v>1087</v>
      </c>
      <c r="K114" s="619" t="s">
        <v>181</v>
      </c>
      <c r="L114" s="620" t="b">
        <v>0</v>
      </c>
      <c r="M114" s="621"/>
    </row>
    <row r="115" spans="1:14" ht="30" x14ac:dyDescent="0.25">
      <c r="A115" s="308" t="str">
        <f>"F-factor (dry)  [Default: "&amp;I115&amp;" " &amp; C115&amp;"]"</f>
        <v>F-factor (dry)  [Default: 8710 dscf/MMBtu]</v>
      </c>
      <c r="B115" s="687"/>
      <c r="C115" s="615" t="s">
        <v>557</v>
      </c>
      <c r="D115" s="616"/>
      <c r="G115" s="574" t="s">
        <v>558</v>
      </c>
      <c r="H115" s="312"/>
      <c r="I115" s="634">
        <v>8710</v>
      </c>
      <c r="J115" s="545">
        <f>IF(ISNUMBER(B115),B115,I115)</f>
        <v>8710</v>
      </c>
      <c r="K115" s="619" t="s">
        <v>557</v>
      </c>
      <c r="L115" s="620" t="b">
        <v>0</v>
      </c>
      <c r="M115" s="621"/>
    </row>
    <row r="116" spans="1:14" ht="8.25" customHeight="1" x14ac:dyDescent="0.25">
      <c r="A116" s="571"/>
      <c r="B116" s="611"/>
      <c r="C116" s="611"/>
      <c r="D116" s="612"/>
      <c r="E116" s="612"/>
      <c r="F116" s="612"/>
      <c r="H116" s="312"/>
      <c r="I116" s="309"/>
      <c r="J116" s="309"/>
      <c r="K116" s="309"/>
      <c r="L116" s="626"/>
      <c r="M116" s="333"/>
    </row>
    <row r="117" spans="1:14" x14ac:dyDescent="0.25">
      <c r="A117" s="605" t="s">
        <v>559</v>
      </c>
      <c r="B117" s="606"/>
      <c r="C117" s="606"/>
      <c r="D117" s="607"/>
      <c r="E117" s="607"/>
      <c r="F117" s="607"/>
      <c r="G117" s="608"/>
      <c r="H117" s="312"/>
      <c r="I117" s="309"/>
      <c r="J117" s="309"/>
      <c r="K117" s="309"/>
      <c r="L117" s="626"/>
      <c r="M117" s="333"/>
    </row>
    <row r="118" spans="1:14" x14ac:dyDescent="0.25">
      <c r="A118" s="610"/>
      <c r="B118" s="611"/>
      <c r="C118" s="611"/>
      <c r="D118" s="612"/>
      <c r="E118" s="612"/>
      <c r="F118" s="612"/>
      <c r="G118" s="570" t="s">
        <v>435</v>
      </c>
      <c r="H118" s="312"/>
      <c r="I118" s="309"/>
      <c r="J118" s="309"/>
      <c r="K118" s="309"/>
      <c r="L118" s="626"/>
      <c r="M118" s="333"/>
    </row>
    <row r="119" spans="1:14" x14ac:dyDescent="0.25">
      <c r="A119" s="308" t="str">
        <f>"Max annual op hours [Default: "&amp;I119&amp;" " &amp; C119&amp;"]"</f>
        <v>Max annual op hours [Default: 8760 hr/yr]</v>
      </c>
      <c r="B119" s="622">
        <v>8760</v>
      </c>
      <c r="C119" s="615" t="s">
        <v>560</v>
      </c>
      <c r="D119" s="616"/>
      <c r="G119" s="617"/>
      <c r="H119" s="312"/>
      <c r="I119" s="634">
        <v>8760</v>
      </c>
      <c r="J119" s="545">
        <f>IF(ISNUMBER(B119),B119,I119)</f>
        <v>8760</v>
      </c>
      <c r="K119" s="619" t="s">
        <v>561</v>
      </c>
      <c r="L119" s="620" t="b">
        <v>0</v>
      </c>
      <c r="M119" s="621"/>
    </row>
    <row r="120" spans="1:14" ht="9" customHeight="1" x14ac:dyDescent="0.25">
      <c r="A120" s="571"/>
      <c r="B120" s="611"/>
      <c r="C120" s="611"/>
      <c r="D120" s="612"/>
      <c r="E120" s="612"/>
      <c r="F120" s="612"/>
      <c r="H120" s="312"/>
      <c r="I120" s="309"/>
      <c r="J120" s="309"/>
      <c r="K120" s="309"/>
      <c r="L120" s="626"/>
      <c r="M120" s="333"/>
    </row>
    <row r="121" spans="1:14" x14ac:dyDescent="0.25">
      <c r="A121" s="605" t="s">
        <v>562</v>
      </c>
      <c r="B121" s="606"/>
      <c r="C121" s="606"/>
      <c r="D121" s="607"/>
      <c r="E121" s="607"/>
      <c r="F121" s="607"/>
      <c r="G121" s="608"/>
      <c r="H121" s="312"/>
      <c r="I121" s="309"/>
      <c r="J121" s="309"/>
      <c r="K121" s="309"/>
      <c r="L121" s="635"/>
      <c r="M121" s="333"/>
    </row>
    <row r="122" spans="1:14" x14ac:dyDescent="0.25">
      <c r="A122" s="610"/>
      <c r="B122" s="611"/>
      <c r="C122" s="611"/>
      <c r="D122" s="612"/>
      <c r="E122" s="612"/>
      <c r="F122" s="612"/>
      <c r="G122" s="570" t="s">
        <v>435</v>
      </c>
      <c r="H122" s="312"/>
      <c r="I122" s="309"/>
      <c r="J122" s="309"/>
      <c r="K122" s="309"/>
      <c r="L122" s="635"/>
      <c r="M122" s="333"/>
    </row>
    <row r="123" spans="1:14" x14ac:dyDescent="0.25">
      <c r="A123" s="308" t="s">
        <v>563</v>
      </c>
      <c r="B123" s="622"/>
      <c r="C123" s="615" t="s">
        <v>301</v>
      </c>
      <c r="D123" s="616"/>
      <c r="G123" s="574" t="s">
        <v>530</v>
      </c>
      <c r="H123" s="312"/>
      <c r="I123" s="636">
        <f>0.105*B93*(J98*((J98-J108)/J98)+0.5*(J125+J127*J126))</f>
        <v>311.3708218526067</v>
      </c>
      <c r="J123" s="637">
        <f>IF(ISNUMBER(B123),B123,I123)</f>
        <v>311.3708218526067</v>
      </c>
      <c r="K123" s="619" t="str">
        <f>C123</f>
        <v>kW</v>
      </c>
      <c r="L123" s="638"/>
      <c r="M123" s="621" t="s">
        <v>564</v>
      </c>
    </row>
    <row r="124" spans="1:14" x14ac:dyDescent="0.25">
      <c r="A124" s="571" t="s">
        <v>565</v>
      </c>
      <c r="B124" s="622"/>
      <c r="C124" s="615"/>
      <c r="D124" s="616"/>
      <c r="H124" s="312"/>
      <c r="I124" s="639"/>
      <c r="J124" s="640"/>
      <c r="K124" s="641"/>
      <c r="L124" s="642"/>
      <c r="M124" s="643"/>
      <c r="N124" s="571"/>
    </row>
    <row r="125" spans="1:14" x14ac:dyDescent="0.25">
      <c r="A125" s="308" t="s">
        <v>566</v>
      </c>
      <c r="B125" s="622"/>
      <c r="C125" s="615"/>
      <c r="D125" s="616"/>
      <c r="G125" s="574" t="s">
        <v>567</v>
      </c>
      <c r="H125" s="312"/>
      <c r="I125" s="634">
        <v>3</v>
      </c>
      <c r="J125" s="644">
        <f>IF(ISNUMBER(B125),B125,I125)</f>
        <v>3</v>
      </c>
      <c r="K125" s="619" t="s">
        <v>568</v>
      </c>
      <c r="L125" s="638" t="b">
        <f>IF(B$123&lt;&gt;"","N/A")</f>
        <v>0</v>
      </c>
      <c r="M125" s="621"/>
    </row>
    <row r="126" spans="1:14" x14ac:dyDescent="0.25">
      <c r="A126" s="308" t="s">
        <v>569</v>
      </c>
      <c r="B126" s="622"/>
      <c r="C126" s="615"/>
      <c r="D126" s="616"/>
      <c r="G126" s="574" t="s">
        <v>567</v>
      </c>
      <c r="H126" s="312"/>
      <c r="I126" s="634">
        <v>1</v>
      </c>
      <c r="J126" s="644">
        <f>IF(ISNUMBER(B126),B126,I126)</f>
        <v>1</v>
      </c>
      <c r="K126" s="619" t="s">
        <v>568</v>
      </c>
      <c r="L126" s="638" t="b">
        <f t="shared" ref="L126" si="4">IF(B$123&lt;&gt;"","N/A")</f>
        <v>0</v>
      </c>
      <c r="M126" s="621"/>
    </row>
    <row r="127" spans="1:14" x14ac:dyDescent="0.25">
      <c r="A127" s="308" t="s">
        <v>570</v>
      </c>
      <c r="B127" s="686">
        <f>'Compressor (15-2)'!G33</f>
        <v>2</v>
      </c>
      <c r="C127" s="615"/>
      <c r="D127" s="616"/>
      <c r="G127" s="574"/>
      <c r="H127" s="312"/>
      <c r="I127" s="411"/>
      <c r="J127" s="644">
        <f>IF(ISNUMBER(B127),B127,I127)</f>
        <v>2</v>
      </c>
      <c r="K127" s="619" t="s">
        <v>571</v>
      </c>
      <c r="L127" s="638" t="b">
        <f>IF(B$123&lt;&gt;"","N/A",IF(B127="","Req'd"))</f>
        <v>0</v>
      </c>
      <c r="M127" s="621"/>
    </row>
    <row r="128" spans="1:14" x14ac:dyDescent="0.25">
      <c r="A128" s="308" t="s">
        <v>572</v>
      </c>
      <c r="B128" s="645">
        <f>J123</f>
        <v>311.3708218526067</v>
      </c>
      <c r="C128" s="615" t="s">
        <v>301</v>
      </c>
      <c r="D128" s="646"/>
      <c r="G128" s="574" t="s">
        <v>567</v>
      </c>
      <c r="H128" s="312"/>
      <c r="I128" s="623"/>
      <c r="J128" s="647"/>
      <c r="K128" s="612"/>
      <c r="L128" s="638" t="b">
        <f>IF(B$123&lt;&gt;"","N/A")</f>
        <v>0</v>
      </c>
      <c r="M128" s="625"/>
    </row>
    <row r="129" spans="1:14" x14ac:dyDescent="0.25">
      <c r="A129" s="571"/>
      <c r="B129" s="648"/>
      <c r="C129" s="649"/>
      <c r="D129" s="650"/>
      <c r="E129" s="612"/>
      <c r="F129" s="612"/>
      <c r="H129" s="421"/>
      <c r="I129" s="639"/>
      <c r="J129" s="640"/>
      <c r="K129" s="641"/>
      <c r="L129" s="642"/>
      <c r="M129" s="643"/>
      <c r="N129" s="571"/>
    </row>
    <row r="130" spans="1:14" ht="45" x14ac:dyDescent="0.25">
      <c r="A130" s="308" t="str">
        <f>"Electricity Cost  [Default: "&amp;I130&amp;" " &amp; C130&amp;"]"</f>
        <v>Electricity Cost  [Default: 0.1572 $/kWh]</v>
      </c>
      <c r="B130" s="614">
        <f>'Utility Costs'!I40/100</f>
        <v>0.15608096020000001</v>
      </c>
      <c r="C130" s="615" t="s">
        <v>11</v>
      </c>
      <c r="D130" s="738"/>
      <c r="E130" s="719"/>
      <c r="F130" s="719"/>
      <c r="G130" s="871" t="s">
        <v>659</v>
      </c>
      <c r="H130" s="312"/>
      <c r="I130" s="634">
        <v>0.15720000000000001</v>
      </c>
      <c r="J130" s="651">
        <f>IF(ISNUMBER(B130),B130,I130)</f>
        <v>0.15608096020000001</v>
      </c>
      <c r="K130" s="619" t="s">
        <v>11</v>
      </c>
      <c r="L130" s="638" t="b">
        <v>0</v>
      </c>
      <c r="M130" s="621"/>
    </row>
    <row r="131" spans="1:14" ht="8.25" customHeight="1" x14ac:dyDescent="0.25">
      <c r="A131" s="571"/>
      <c r="B131" s="611"/>
      <c r="C131" s="611"/>
      <c r="D131" s="612"/>
      <c r="E131" s="612"/>
      <c r="F131" s="612"/>
      <c r="H131" s="312"/>
      <c r="I131" s="309"/>
      <c r="J131" s="309"/>
      <c r="K131" s="309"/>
      <c r="L131" s="626"/>
      <c r="M131" s="333"/>
    </row>
    <row r="132" spans="1:14" x14ac:dyDescent="0.25">
      <c r="A132" s="605" t="s">
        <v>573</v>
      </c>
      <c r="B132" s="606"/>
      <c r="C132" s="606"/>
      <c r="D132" s="607"/>
      <c r="E132" s="607"/>
      <c r="F132" s="607"/>
      <c r="G132" s="608"/>
      <c r="H132" s="312"/>
      <c r="I132" s="309"/>
      <c r="J132" s="309"/>
      <c r="K132" s="309"/>
      <c r="L132" s="626"/>
      <c r="M132" s="333"/>
    </row>
    <row r="133" spans="1:14" x14ac:dyDescent="0.25">
      <c r="A133" s="610"/>
      <c r="B133" s="611"/>
      <c r="C133" s="611"/>
      <c r="D133" s="612"/>
      <c r="E133" s="612"/>
      <c r="F133" s="612"/>
      <c r="G133" s="570" t="s">
        <v>435</v>
      </c>
      <c r="H133" s="312"/>
      <c r="I133" s="309"/>
      <c r="J133" s="309"/>
      <c r="K133" s="309"/>
      <c r="L133" s="626"/>
      <c r="M133" s="333"/>
    </row>
    <row r="134" spans="1:14" ht="39" x14ac:dyDescent="0.25">
      <c r="A134" s="308" t="s">
        <v>574</v>
      </c>
      <c r="B134" s="652">
        <f>'Compressor (15-2)'!G17</f>
        <v>2.2400000000000002</v>
      </c>
      <c r="C134" s="615" t="s">
        <v>575</v>
      </c>
      <c r="D134" s="616"/>
      <c r="G134" s="715" t="s">
        <v>660</v>
      </c>
      <c r="H134" s="312"/>
      <c r="I134" s="634"/>
      <c r="J134" s="651">
        <f>B134</f>
        <v>2.2400000000000002</v>
      </c>
      <c r="K134" s="619" t="str">
        <f>C134</f>
        <v>$/gallon</v>
      </c>
      <c r="L134" s="620" t="b">
        <f>IF(B134="","Req'd")</f>
        <v>0</v>
      </c>
      <c r="M134" s="621"/>
    </row>
    <row r="135" spans="1:14" x14ac:dyDescent="0.25">
      <c r="A135" s="308" t="s">
        <v>576</v>
      </c>
      <c r="B135" s="622"/>
      <c r="C135" s="615" t="s">
        <v>577</v>
      </c>
      <c r="D135" s="616"/>
      <c r="G135" s="574" t="s">
        <v>530</v>
      </c>
      <c r="H135" s="312"/>
      <c r="I135" s="634"/>
      <c r="J135" s="545">
        <f>IF(ISNUMBER(B135),B135,B136*24*J138)</f>
        <v>4926.4888348732165</v>
      </c>
      <c r="K135" s="619" t="s">
        <v>577</v>
      </c>
      <c r="L135" s="620" t="b">
        <f>IF(AND(B135="",B136=""),"Req'd")</f>
        <v>0</v>
      </c>
      <c r="M135" s="621"/>
    </row>
    <row r="136" spans="1:14" x14ac:dyDescent="0.25">
      <c r="A136" s="629" t="s">
        <v>547</v>
      </c>
      <c r="B136" s="622">
        <v>14</v>
      </c>
      <c r="C136" s="615" t="s">
        <v>578</v>
      </c>
      <c r="D136" s="616"/>
      <c r="G136" s="574" t="s">
        <v>502</v>
      </c>
      <c r="H136" s="312"/>
      <c r="I136" s="634"/>
      <c r="J136" s="545">
        <f>IF(ISNUMBER(B136),B136,B137*24*J139)</f>
        <v>14</v>
      </c>
      <c r="K136" s="619" t="s">
        <v>577</v>
      </c>
      <c r="L136" s="620" t="b">
        <f>IF(AND(B135="",B136=""),"Req'd",IF(B135&lt;&gt;"","N/A"))</f>
        <v>0</v>
      </c>
      <c r="M136" s="621"/>
    </row>
    <row r="137" spans="1:14" x14ac:dyDescent="0.25">
      <c r="B137" s="653"/>
      <c r="H137" s="312"/>
      <c r="I137" s="309"/>
      <c r="J137" s="309"/>
      <c r="K137" s="309"/>
      <c r="L137" s="626"/>
      <c r="M137" s="333"/>
    </row>
    <row r="138" spans="1:14" x14ac:dyDescent="0.25">
      <c r="A138" s="308" t="s">
        <v>579</v>
      </c>
      <c r="B138" s="614"/>
      <c r="C138" s="615" t="s">
        <v>65</v>
      </c>
      <c r="D138" s="616"/>
      <c r="G138" s="574" t="s">
        <v>530</v>
      </c>
      <c r="H138" s="312"/>
      <c r="I138" s="634">
        <f>(J141/J142)</f>
        <v>14.662169151408383</v>
      </c>
      <c r="J138" s="545">
        <f>IF(ISNUMBER(B138),B138,I138)</f>
        <v>14.662169151408383</v>
      </c>
      <c r="K138" s="619" t="str">
        <f>C138</f>
        <v>gal/hr</v>
      </c>
      <c r="L138" s="620"/>
      <c r="M138" s="621"/>
    </row>
    <row r="139" spans="1:14" s="309" customFormat="1" x14ac:dyDescent="0.25">
      <c r="A139" s="571" t="s">
        <v>580</v>
      </c>
      <c r="B139" s="310"/>
      <c r="C139" s="310"/>
      <c r="G139" s="311"/>
      <c r="H139" s="312"/>
      <c r="L139" s="626"/>
      <c r="M139" s="333"/>
    </row>
    <row r="140" spans="1:14" x14ac:dyDescent="0.25">
      <c r="A140" s="629" t="str">
        <f>"Stored NH3 concentration  [Default: "&amp;TEXT(I140,"0.0%")&amp;"]"</f>
        <v>Stored NH3 concentration  [Default: 19.4%]</v>
      </c>
      <c r="B140" s="654"/>
      <c r="C140" s="615" t="s">
        <v>581</v>
      </c>
      <c r="D140" s="616"/>
      <c r="E140" s="308"/>
      <c r="F140" s="565"/>
      <c r="G140" s="574"/>
      <c r="H140" s="308"/>
      <c r="I140" s="655">
        <v>0.19400000000000001</v>
      </c>
      <c r="J140" s="656">
        <f>IF(ISNUMBER(B140),B140,I140)</f>
        <v>0.19400000000000001</v>
      </c>
      <c r="K140" s="657" t="s">
        <v>581</v>
      </c>
      <c r="L140" s="620" t="b">
        <f>IF(B$138&lt;&gt;"","N/A")</f>
        <v>0</v>
      </c>
      <c r="M140" s="621" t="s">
        <v>582</v>
      </c>
    </row>
    <row r="141" spans="1:14" ht="18" x14ac:dyDescent="0.35">
      <c r="A141" s="629" t="s">
        <v>583</v>
      </c>
      <c r="B141" s="614">
        <f>'Compressor (15-2)'!C16</f>
        <v>114.10100033626004</v>
      </c>
      <c r="C141" s="615" t="s">
        <v>12</v>
      </c>
      <c r="D141" s="616"/>
      <c r="E141" s="308"/>
      <c r="F141" s="308"/>
      <c r="G141" s="574" t="s">
        <v>530</v>
      </c>
      <c r="H141" s="308"/>
      <c r="I141" s="636">
        <f>(J93*(J98-J108)+J94*(J103-J108))*(1.05*17.03)/(1*46.01)/J140</f>
        <v>111.05675833569586</v>
      </c>
      <c r="J141" s="644">
        <f>IF(ISNUMBER(B141),B141,I141)</f>
        <v>114.10100033626004</v>
      </c>
      <c r="K141" s="659" t="s">
        <v>12</v>
      </c>
      <c r="L141" s="620" t="b">
        <f>IF(B$138&lt;&gt;"","N/A")</f>
        <v>0</v>
      </c>
      <c r="M141" s="621" t="s">
        <v>584</v>
      </c>
    </row>
    <row r="142" spans="1:14" x14ac:dyDescent="0.25">
      <c r="A142" s="629" t="str">
        <f>"NH3 solution density  [Default: "&amp;TEXT(I142,"0.000")&amp;" "&amp;K142&amp;"]"</f>
        <v>NH3 solution density  [Default: 7.782 lb/gal]</v>
      </c>
      <c r="B142" s="658">
        <f>'Compressor (15-2)'!G14</f>
        <v>7.782</v>
      </c>
      <c r="C142" s="615" t="s">
        <v>385</v>
      </c>
      <c r="D142" s="616"/>
      <c r="E142" s="308"/>
      <c r="F142" s="308"/>
      <c r="G142" s="574" t="s">
        <v>585</v>
      </c>
      <c r="H142" s="308"/>
      <c r="I142" s="636">
        <f>-3.3395*J140 + 8.4297</f>
        <v>7.7818370000000003</v>
      </c>
      <c r="J142" s="644">
        <f>IF(ISNUMBER(B142),B142,I142)</f>
        <v>7.782</v>
      </c>
      <c r="K142" s="659" t="s">
        <v>385</v>
      </c>
      <c r="L142" s="620" t="b">
        <f>IF(B$138&lt;&gt;"","N/A")</f>
        <v>0</v>
      </c>
      <c r="M142" s="621"/>
    </row>
    <row r="143" spans="1:14" x14ac:dyDescent="0.25">
      <c r="A143" s="308" t="s">
        <v>586</v>
      </c>
      <c r="B143" s="645">
        <f>J138</f>
        <v>14.662169151408383</v>
      </c>
      <c r="C143" s="615" t="s">
        <v>65</v>
      </c>
      <c r="D143" s="616"/>
      <c r="E143" s="308"/>
      <c r="F143" s="308"/>
      <c r="G143" s="574" t="s">
        <v>587</v>
      </c>
      <c r="H143" s="308"/>
      <c r="I143" s="660"/>
      <c r="J143" s="660"/>
      <c r="K143" s="661"/>
      <c r="L143" s="638" t="b">
        <f>IF(B$138&lt;&gt;"","N/A")</f>
        <v>0</v>
      </c>
      <c r="M143" s="625"/>
    </row>
    <row r="144" spans="1:14" ht="8.25" customHeight="1" x14ac:dyDescent="0.25">
      <c r="A144" s="571"/>
      <c r="B144" s="611"/>
      <c r="C144" s="611"/>
      <c r="D144" s="612"/>
      <c r="E144" s="612"/>
      <c r="F144" s="612"/>
      <c r="H144" s="312"/>
      <c r="I144" s="309"/>
      <c r="J144" s="309"/>
      <c r="K144" s="309"/>
      <c r="L144" s="309"/>
      <c r="M144" s="333"/>
    </row>
    <row r="145" spans="1:13" x14ac:dyDescent="0.25">
      <c r="A145" s="605" t="s">
        <v>588</v>
      </c>
      <c r="B145" s="606"/>
      <c r="C145" s="606"/>
      <c r="D145" s="607"/>
      <c r="E145" s="607"/>
      <c r="F145" s="607"/>
      <c r="G145" s="608"/>
      <c r="H145" s="312"/>
      <c r="I145" s="309"/>
      <c r="J145" s="309"/>
      <c r="K145" s="309"/>
      <c r="L145" s="309"/>
      <c r="M145" s="333"/>
    </row>
    <row r="146" spans="1:13" x14ac:dyDescent="0.25">
      <c r="A146" s="610"/>
      <c r="B146" s="611"/>
      <c r="C146" s="611"/>
      <c r="D146" s="612"/>
      <c r="E146" s="612"/>
      <c r="F146" s="612"/>
      <c r="G146" s="570" t="s">
        <v>435</v>
      </c>
      <c r="H146" s="312"/>
      <c r="I146" s="309"/>
      <c r="J146" s="309"/>
      <c r="K146" s="309"/>
      <c r="L146" s="309"/>
      <c r="M146" s="333"/>
    </row>
    <row r="147" spans="1:13" x14ac:dyDescent="0.25">
      <c r="A147" s="308" t="s">
        <v>589</v>
      </c>
      <c r="B147" s="662">
        <f>'Compressor (15-2)'!G25*'Compressor (15-2)'!G40</f>
        <v>682501.56941071129</v>
      </c>
      <c r="G147" s="684" t="s">
        <v>612</v>
      </c>
      <c r="H147" s="312"/>
      <c r="I147" s="618"/>
      <c r="J147" s="663">
        <f>B147</f>
        <v>682501.56941071129</v>
      </c>
      <c r="K147" s="619" t="s">
        <v>445</v>
      </c>
      <c r="L147" s="620" t="b">
        <f>IF(B147="","Req'd")</f>
        <v>0</v>
      </c>
      <c r="M147" s="621"/>
    </row>
    <row r="148" spans="1:13" x14ac:dyDescent="0.25">
      <c r="A148" s="308" t="s">
        <v>590</v>
      </c>
      <c r="B148" s="622">
        <v>3</v>
      </c>
      <c r="C148" s="615" t="s">
        <v>518</v>
      </c>
      <c r="D148" s="646"/>
      <c r="G148" s="617" t="s">
        <v>444</v>
      </c>
      <c r="H148" s="312"/>
      <c r="I148" s="618"/>
      <c r="J148" s="545">
        <f>IF(ISNUMBER(B148),B148,I148)</f>
        <v>3</v>
      </c>
      <c r="K148" s="619" t="s">
        <v>518</v>
      </c>
      <c r="L148" s="620" t="b">
        <f>IF(B148="","Req'd")</f>
        <v>0</v>
      </c>
      <c r="M148" s="621"/>
    </row>
    <row r="149" spans="1:13" x14ac:dyDescent="0.25">
      <c r="A149" s="664" t="s">
        <v>31</v>
      </c>
      <c r="B149" s="665">
        <v>7.0000000000000007E-2</v>
      </c>
      <c r="C149" s="615" t="s">
        <v>520</v>
      </c>
      <c r="D149" s="616"/>
      <c r="G149" s="574" t="s">
        <v>591</v>
      </c>
      <c r="H149" s="312"/>
      <c r="I149" s="618"/>
      <c r="J149" s="666">
        <f>IF(ISNUMBER(B149),B149,I149)</f>
        <v>7.0000000000000007E-2</v>
      </c>
      <c r="K149" s="619" t="s">
        <v>520</v>
      </c>
      <c r="L149" s="620" t="b">
        <f>IF(B149="","Req'd")</f>
        <v>0</v>
      </c>
      <c r="M149" s="621"/>
    </row>
    <row r="150" spans="1:13" x14ac:dyDescent="0.25">
      <c r="A150" s="667" t="s">
        <v>592</v>
      </c>
      <c r="B150" s="668">
        <f>J150</f>
        <v>212293.24999555541</v>
      </c>
      <c r="G150" s="574" t="s">
        <v>593</v>
      </c>
      <c r="H150" s="312"/>
      <c r="I150" s="669">
        <f>IF(NOT(AND(ISNUMBER(B147),ISNUMBER(B148))),0,J147*J149/((1+J149)^J148-1))</f>
        <v>212293.24999555541</v>
      </c>
      <c r="J150" s="663">
        <f>I150</f>
        <v>212293.24999555541</v>
      </c>
      <c r="K150" s="619" t="s">
        <v>445</v>
      </c>
      <c r="L150" s="670" t="b">
        <v>0</v>
      </c>
      <c r="M150" s="621" t="s">
        <v>594</v>
      </c>
    </row>
    <row r="151" spans="1:13" ht="8.25" customHeight="1" x14ac:dyDescent="0.25">
      <c r="A151" s="571"/>
      <c r="B151" s="611"/>
      <c r="C151" s="611"/>
      <c r="D151" s="612"/>
      <c r="E151" s="612"/>
      <c r="F151" s="612"/>
      <c r="H151" s="312"/>
      <c r="I151" s="671"/>
      <c r="J151" s="309"/>
      <c r="K151" s="309"/>
      <c r="L151" s="309"/>
    </row>
    <row r="152" spans="1:13" x14ac:dyDescent="0.25">
      <c r="A152" s="308" t="s">
        <v>595</v>
      </c>
      <c r="B152" s="672"/>
      <c r="H152" s="312"/>
      <c r="I152" s="673"/>
      <c r="L152" s="309"/>
      <c r="M152" s="309"/>
    </row>
    <row r="153" spans="1:13" x14ac:dyDescent="0.25">
      <c r="A153" s="565"/>
      <c r="B153" s="674"/>
      <c r="C153" s="674"/>
      <c r="D153" s="565"/>
      <c r="E153" s="675"/>
      <c r="F153" s="565"/>
      <c r="H153" s="308"/>
      <c r="I153" s="565"/>
      <c r="J153" s="676"/>
      <c r="K153" s="424"/>
      <c r="L153" s="565"/>
      <c r="M153" s="565"/>
    </row>
    <row r="154" spans="1:13" x14ac:dyDescent="0.25">
      <c r="A154" s="677"/>
      <c r="B154" s="678"/>
      <c r="C154" s="678"/>
      <c r="D154" s="679"/>
      <c r="E154" s="679"/>
      <c r="F154" s="679"/>
      <c r="H154" s="679"/>
      <c r="I154" s="565"/>
      <c r="J154" s="679"/>
      <c r="K154" s="679"/>
      <c r="L154" s="565"/>
      <c r="M154" s="565"/>
    </row>
    <row r="155" spans="1:13" x14ac:dyDescent="0.25">
      <c r="A155" s="565"/>
      <c r="B155" s="678"/>
      <c r="C155" s="678"/>
      <c r="D155" s="679"/>
      <c r="E155" s="679"/>
      <c r="F155" s="679"/>
      <c r="H155" s="679"/>
      <c r="I155" s="565"/>
      <c r="J155" s="679"/>
      <c r="K155" s="679"/>
      <c r="L155" s="565"/>
      <c r="M155" s="565"/>
    </row>
    <row r="156" spans="1:13" x14ac:dyDescent="0.2">
      <c r="A156" s="565"/>
      <c r="B156" s="678"/>
      <c r="C156" s="678"/>
      <c r="D156" s="679"/>
      <c r="E156" s="679"/>
      <c r="F156" s="679"/>
      <c r="G156" s="680"/>
      <c r="H156" s="679"/>
      <c r="I156" s="565"/>
      <c r="J156" s="679"/>
      <c r="K156" s="679"/>
      <c r="L156" s="565"/>
      <c r="M156" s="565"/>
    </row>
    <row r="157" spans="1:13" x14ac:dyDescent="0.2">
      <c r="A157" s="565"/>
      <c r="B157" s="678"/>
      <c r="C157" s="678"/>
      <c r="D157" s="679"/>
      <c r="E157" s="679"/>
      <c r="F157" s="679"/>
      <c r="G157" s="680"/>
      <c r="H157" s="679"/>
      <c r="I157" s="565"/>
      <c r="J157" s="679"/>
      <c r="K157" s="679"/>
      <c r="L157" s="565"/>
      <c r="M157" s="565"/>
    </row>
    <row r="158" spans="1:13" x14ac:dyDescent="0.2">
      <c r="A158" s="565"/>
      <c r="B158" s="678"/>
      <c r="C158" s="678"/>
      <c r="D158" s="679"/>
      <c r="E158" s="679"/>
      <c r="F158" s="679"/>
      <c r="G158" s="680"/>
      <c r="H158" s="679"/>
      <c r="I158" s="565"/>
      <c r="J158" s="679"/>
      <c r="K158" s="679"/>
      <c r="L158" s="565"/>
      <c r="M158" s="565"/>
    </row>
    <row r="159" spans="1:13" x14ac:dyDescent="0.2">
      <c r="A159" s="565"/>
      <c r="B159" s="678"/>
      <c r="C159" s="678"/>
      <c r="D159" s="679"/>
      <c r="E159" s="679"/>
      <c r="F159" s="679"/>
      <c r="G159" s="680"/>
      <c r="H159" s="679"/>
      <c r="I159" s="565"/>
      <c r="J159" s="679"/>
      <c r="K159" s="679"/>
      <c r="L159" s="565"/>
      <c r="M159" s="565"/>
    </row>
    <row r="160" spans="1:13" x14ac:dyDescent="0.2">
      <c r="A160" s="565"/>
      <c r="B160" s="678"/>
      <c r="C160" s="678"/>
      <c r="D160" s="679"/>
      <c r="E160" s="679"/>
      <c r="F160" s="679"/>
      <c r="G160" s="680"/>
      <c r="H160" s="679"/>
      <c r="I160" s="565"/>
      <c r="J160" s="679"/>
      <c r="K160" s="679"/>
      <c r="L160" s="565"/>
      <c r="M160" s="565"/>
    </row>
    <row r="161" spans="1:13" x14ac:dyDescent="0.2">
      <c r="A161" s="565"/>
      <c r="B161" s="678"/>
      <c r="C161" s="678"/>
      <c r="D161" s="679"/>
      <c r="E161" s="679"/>
      <c r="F161" s="679"/>
      <c r="G161" s="680"/>
      <c r="H161" s="679"/>
      <c r="I161" s="565"/>
      <c r="J161" s="679"/>
      <c r="K161" s="679"/>
      <c r="L161" s="565"/>
      <c r="M161" s="565"/>
    </row>
    <row r="162" spans="1:13" x14ac:dyDescent="0.2">
      <c r="A162" s="565"/>
      <c r="B162" s="678"/>
      <c r="C162" s="678"/>
      <c r="D162" s="679"/>
      <c r="E162" s="679"/>
      <c r="F162" s="679"/>
      <c r="G162" s="680"/>
      <c r="H162" s="679"/>
      <c r="I162" s="565"/>
      <c r="J162" s="679"/>
      <c r="K162" s="679"/>
      <c r="L162" s="565"/>
      <c r="M162" s="565"/>
    </row>
    <row r="163" spans="1:13" x14ac:dyDescent="0.2">
      <c r="A163" s="565"/>
      <c r="B163" s="678"/>
      <c r="C163" s="678"/>
      <c r="D163" s="679"/>
      <c r="E163" s="679"/>
      <c r="F163" s="679"/>
      <c r="G163" s="680"/>
      <c r="H163" s="679"/>
      <c r="I163" s="565"/>
      <c r="J163" s="679"/>
      <c r="K163" s="679"/>
      <c r="L163" s="565"/>
      <c r="M163" s="565"/>
    </row>
    <row r="164" spans="1:13" x14ac:dyDescent="0.2">
      <c r="A164" s="565"/>
      <c r="B164" s="678"/>
      <c r="C164" s="678"/>
      <c r="D164" s="679"/>
      <c r="E164" s="679"/>
      <c r="F164" s="679"/>
      <c r="G164" s="680"/>
      <c r="H164" s="679"/>
      <c r="I164" s="565"/>
      <c r="J164" s="679"/>
      <c r="K164" s="679"/>
      <c r="L164" s="565"/>
      <c r="M164" s="565"/>
    </row>
    <row r="165" spans="1:13" x14ac:dyDescent="0.2">
      <c r="A165" s="565"/>
      <c r="B165" s="678"/>
      <c r="C165" s="678"/>
      <c r="D165" s="679"/>
      <c r="E165" s="679"/>
      <c r="F165" s="679"/>
      <c r="G165" s="680"/>
      <c r="H165" s="679"/>
      <c r="I165" s="565"/>
      <c r="J165" s="679"/>
      <c r="K165" s="679"/>
      <c r="L165" s="565"/>
      <c r="M165" s="565"/>
    </row>
    <row r="166" spans="1:13" x14ac:dyDescent="0.2">
      <c r="A166" s="565"/>
      <c r="B166" s="678"/>
      <c r="C166" s="678"/>
      <c r="D166" s="679"/>
      <c r="E166" s="679"/>
      <c r="F166" s="679"/>
      <c r="G166" s="680"/>
      <c r="H166" s="679"/>
      <c r="I166" s="565"/>
      <c r="J166" s="679"/>
      <c r="K166" s="679"/>
      <c r="L166" s="565"/>
      <c r="M166" s="565"/>
    </row>
    <row r="167" spans="1:13" x14ac:dyDescent="0.2">
      <c r="A167" s="565"/>
      <c r="B167" s="678"/>
      <c r="C167" s="678"/>
      <c r="D167" s="679"/>
      <c r="E167" s="679"/>
      <c r="F167" s="679"/>
      <c r="G167" s="680"/>
      <c r="H167" s="679"/>
      <c r="I167" s="565"/>
      <c r="J167" s="679"/>
      <c r="K167" s="679"/>
      <c r="L167" s="565"/>
      <c r="M167" s="565"/>
    </row>
    <row r="168" spans="1:13" x14ac:dyDescent="0.2">
      <c r="A168" s="565"/>
      <c r="B168" s="678"/>
      <c r="C168" s="678"/>
      <c r="D168" s="679"/>
      <c r="E168" s="679"/>
      <c r="F168" s="679"/>
      <c r="G168" s="680"/>
      <c r="H168" s="679"/>
      <c r="I168" s="565"/>
      <c r="J168" s="679"/>
      <c r="K168" s="679"/>
      <c r="L168" s="565"/>
      <c r="M168" s="565"/>
    </row>
    <row r="169" spans="1:13" x14ac:dyDescent="0.2">
      <c r="A169" s="565"/>
      <c r="B169" s="678"/>
      <c r="C169" s="678"/>
      <c r="D169" s="679"/>
      <c r="E169" s="679"/>
      <c r="F169" s="679"/>
      <c r="G169" s="680"/>
      <c r="H169" s="679"/>
      <c r="I169" s="565"/>
      <c r="J169" s="679"/>
      <c r="K169" s="679"/>
      <c r="L169" s="565"/>
      <c r="M169" s="565"/>
    </row>
  </sheetData>
  <mergeCells count="8">
    <mergeCell ref="A57:G57"/>
    <mergeCell ref="A65:G65"/>
    <mergeCell ref="A1:G1"/>
    <mergeCell ref="A2:G2"/>
    <mergeCell ref="A3:G3"/>
    <mergeCell ref="A9:G9"/>
    <mergeCell ref="A28:G28"/>
    <mergeCell ref="A43:G43"/>
  </mergeCells>
  <conditionalFormatting sqref="C11:D23 C47:D47 C55:D56 C64:D64 C66:D71 C29:D42 C44:D45 C25:D27">
    <cfRule type="expression" dxfId="51" priority="50">
      <formula>$B11&lt;&gt;""</formula>
    </cfRule>
  </conditionalFormatting>
  <conditionalFormatting sqref="B11:B23 B47 B55:B56 B25:B27 B61:B64 B29:B42 B44:B45 B144:B150 B66:B74 B78:B129 C80 B131:B142">
    <cfRule type="expression" dxfId="50" priority="51">
      <formula>$L11="N/A"</formula>
    </cfRule>
    <cfRule type="expression" dxfId="49" priority="52">
      <formula>AND($L11="Req'd",$B11="")</formula>
    </cfRule>
  </conditionalFormatting>
  <conditionalFormatting sqref="D46">
    <cfRule type="expression" dxfId="48" priority="47">
      <formula>$B46&lt;&gt;""</formula>
    </cfRule>
  </conditionalFormatting>
  <conditionalFormatting sqref="B46">
    <cfRule type="expression" dxfId="47" priority="48">
      <formula>$L46="N/A"</formula>
    </cfRule>
    <cfRule type="expression" dxfId="46" priority="49">
      <formula>AND($L46="Req'd",$B46="")</formula>
    </cfRule>
  </conditionalFormatting>
  <conditionalFormatting sqref="C58:D58 C63:D63">
    <cfRule type="expression" dxfId="45" priority="44">
      <formula>$B58&lt;&gt;""</formula>
    </cfRule>
  </conditionalFormatting>
  <conditionalFormatting sqref="B58:B59">
    <cfRule type="expression" dxfId="44" priority="45">
      <formula>$L58="N/A"</formula>
    </cfRule>
    <cfRule type="expression" dxfId="43" priority="46">
      <formula>AND($L58="Req'd",$B58="")</formula>
    </cfRule>
  </conditionalFormatting>
  <conditionalFormatting sqref="B60">
    <cfRule type="expression" dxfId="42" priority="42">
      <formula>$L60="N/A"</formula>
    </cfRule>
    <cfRule type="expression" dxfId="41" priority="43">
      <formula>AND($L60="Req'd",$B60="")</formula>
    </cfRule>
  </conditionalFormatting>
  <conditionalFormatting sqref="C59">
    <cfRule type="expression" dxfId="40" priority="41">
      <formula>$B59&lt;&gt;""</formula>
    </cfRule>
  </conditionalFormatting>
  <conditionalFormatting sqref="D59">
    <cfRule type="expression" dxfId="39" priority="40">
      <formula>$B59&lt;&gt;""</formula>
    </cfRule>
  </conditionalFormatting>
  <conditionalFormatting sqref="C48">
    <cfRule type="expression" dxfId="38" priority="37">
      <formula>$B48&lt;&gt;""</formula>
    </cfRule>
  </conditionalFormatting>
  <conditionalFormatting sqref="B48">
    <cfRule type="expression" dxfId="37" priority="38">
      <formula>$L48="N/A"</formula>
    </cfRule>
    <cfRule type="expression" dxfId="36" priority="39">
      <formula>AND($L48="Req'd",$B48="")</formula>
    </cfRule>
  </conditionalFormatting>
  <conditionalFormatting sqref="C60:D60">
    <cfRule type="expression" dxfId="35" priority="36">
      <formula>$B60&lt;&gt;""</formula>
    </cfRule>
  </conditionalFormatting>
  <conditionalFormatting sqref="C61:D61">
    <cfRule type="expression" dxfId="34" priority="35">
      <formula>$B61&lt;&gt;""</formula>
    </cfRule>
  </conditionalFormatting>
  <conditionalFormatting sqref="C62:D62">
    <cfRule type="expression" dxfId="33" priority="34">
      <formula>$B62&lt;&gt;""</formula>
    </cfRule>
  </conditionalFormatting>
  <conditionalFormatting sqref="B49">
    <cfRule type="expression" dxfId="32" priority="32">
      <formula>$L49="N/A"</formula>
    </cfRule>
    <cfRule type="expression" dxfId="31" priority="33">
      <formula>AND($L49="Req'd",$B49="")</formula>
    </cfRule>
  </conditionalFormatting>
  <conditionalFormatting sqref="B50">
    <cfRule type="expression" dxfId="30" priority="30">
      <formula>$L50="N/A"</formula>
    </cfRule>
    <cfRule type="expression" dxfId="29" priority="31">
      <formula>AND($L50="Req'd",$B50="")</formula>
    </cfRule>
  </conditionalFormatting>
  <conditionalFormatting sqref="B51:B52">
    <cfRule type="expression" dxfId="28" priority="28">
      <formula>$L51="N/A"</formula>
    </cfRule>
    <cfRule type="expression" dxfId="27" priority="29">
      <formula>AND($L51="Req'd",$B51="")</formula>
    </cfRule>
  </conditionalFormatting>
  <conditionalFormatting sqref="C54:D54">
    <cfRule type="expression" dxfId="26" priority="22">
      <formula>$B54&lt;&gt;""</formula>
    </cfRule>
  </conditionalFormatting>
  <conditionalFormatting sqref="C53:D53">
    <cfRule type="expression" dxfId="25" priority="25">
      <formula>$B53&lt;&gt;""</formula>
    </cfRule>
  </conditionalFormatting>
  <conditionalFormatting sqref="B53">
    <cfRule type="expression" dxfId="24" priority="26">
      <formula>$L53="N/A"</formula>
    </cfRule>
    <cfRule type="expression" dxfId="23" priority="27">
      <formula>AND($L53="Req'd",$B53="")</formula>
    </cfRule>
  </conditionalFormatting>
  <conditionalFormatting sqref="B54">
    <cfRule type="expression" dxfId="22" priority="23">
      <formula>$L54="N/A"</formula>
    </cfRule>
    <cfRule type="expression" dxfId="21" priority="24">
      <formula>AND($L54="Req'd",$B54="")</formula>
    </cfRule>
  </conditionalFormatting>
  <conditionalFormatting sqref="C50">
    <cfRule type="expression" dxfId="20" priority="21">
      <formula>$B50&lt;&gt;""</formula>
    </cfRule>
  </conditionalFormatting>
  <conditionalFormatting sqref="D50">
    <cfRule type="expression" dxfId="19" priority="20">
      <formula>$B50&lt;&gt;""</formula>
    </cfRule>
  </conditionalFormatting>
  <conditionalFormatting sqref="D51:D52">
    <cfRule type="expression" dxfId="18" priority="19">
      <formula>$B51&lt;&gt;""</formula>
    </cfRule>
  </conditionalFormatting>
  <conditionalFormatting sqref="C51">
    <cfRule type="expression" dxfId="17" priority="18">
      <formula>$B51&lt;&gt;""</formula>
    </cfRule>
  </conditionalFormatting>
  <conditionalFormatting sqref="C49">
    <cfRule type="expression" dxfId="16" priority="16">
      <formula>$B49&lt;&gt;""</formula>
    </cfRule>
  </conditionalFormatting>
  <conditionalFormatting sqref="D49">
    <cfRule type="expression" dxfId="15" priority="17">
      <formula>$B49&lt;&gt;""</formula>
    </cfRule>
  </conditionalFormatting>
  <conditionalFormatting sqref="D48">
    <cfRule type="expression" dxfId="14" priority="15">
      <formula>$B48&lt;&gt;""</formula>
    </cfRule>
  </conditionalFormatting>
  <conditionalFormatting sqref="B76:B77 C77">
    <cfRule type="expression" dxfId="13" priority="13">
      <formula>$L76="N/A"</formula>
    </cfRule>
    <cfRule type="expression" dxfId="12" priority="14">
      <formula>AND($L76="Req'd",$B76="")</formula>
    </cfRule>
  </conditionalFormatting>
  <conditionalFormatting sqref="C46">
    <cfRule type="expression" dxfId="11" priority="12">
      <formula>$B46&lt;&gt;""</formula>
    </cfRule>
  </conditionalFormatting>
  <conditionalFormatting sqref="C52">
    <cfRule type="expression" dxfId="10" priority="11">
      <formula>$B52&lt;&gt;""</formula>
    </cfRule>
  </conditionalFormatting>
  <conditionalFormatting sqref="B143">
    <cfRule type="expression" dxfId="9" priority="9">
      <formula>$L143="N/A"</formula>
    </cfRule>
    <cfRule type="expression" dxfId="8" priority="10">
      <formula>AND($L143="Req'd",$B143="")</formula>
    </cfRule>
  </conditionalFormatting>
  <conditionalFormatting sqref="C75:C76">
    <cfRule type="expression" dxfId="7" priority="7">
      <formula>$L75="N/A"</formula>
    </cfRule>
    <cfRule type="expression" dxfId="6" priority="8">
      <formula>AND($L75="Req'd",$B75="")</formula>
    </cfRule>
  </conditionalFormatting>
  <conditionalFormatting sqref="B24">
    <cfRule type="expression" dxfId="5" priority="5">
      <formula>$K24="N/A"</formula>
    </cfRule>
    <cfRule type="expression" dxfId="4" priority="6">
      <formula>AND($K24="Req'd",$B24="")</formula>
    </cfRule>
  </conditionalFormatting>
  <conditionalFormatting sqref="B75">
    <cfRule type="expression" dxfId="3" priority="3">
      <formula>$L75="N/A"</formula>
    </cfRule>
    <cfRule type="expression" dxfId="2" priority="4">
      <formula>AND($L75="Req'd",$B75="")</formula>
    </cfRule>
  </conditionalFormatting>
  <conditionalFormatting sqref="B130">
    <cfRule type="expression" dxfId="1" priority="1">
      <formula>$L130="N/A"</formula>
    </cfRule>
    <cfRule type="expression" dxfId="0" priority="2">
      <formula>AND($L130="Req'd",$B130="")</formula>
    </cfRule>
  </conditionalFormatting>
  <printOptions horizontalCentered="1"/>
  <pageMargins left="0.7" right="0.7" top="0.75" bottom="0.75" header="0.3" footer="0.3"/>
  <pageSetup scale="73" fitToHeight="0" orientation="landscape" verticalDpi="300" r:id="rId1"/>
  <headerFooter alignWithMargins="0">
    <oddHeader>&amp;L&amp;G&amp;C&amp;"-,Bold"&amp;14GTP BACT ANALYSIS
Trade Secrets</oddHeader>
    <oddFooter>&amp;LAppendix B - BACT Cost Effectiveness (Treated Gas Compressor Drivers)&amp;RPage &amp;P of &amp;N</oddFooter>
  </headerFooter>
  <rowBreaks count="2" manualBreakCount="2">
    <brk id="41" max="6" man="1"/>
    <brk id="84" max="6" man="1"/>
  </row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14</vt:i4>
      </vt:variant>
    </vt:vector>
  </HeadingPairs>
  <TitlesOfParts>
    <vt:vector size="27" baseType="lpstr">
      <vt:lpstr>SNCR - Urea</vt:lpstr>
      <vt:lpstr>SNCR - Ammonia</vt:lpstr>
      <vt:lpstr>SCR - Ammonia</vt:lpstr>
      <vt:lpstr>PowerGen Comp</vt:lpstr>
      <vt:lpstr>A.4_PGen -  SCR</vt:lpstr>
      <vt:lpstr>PGen -  SCR (EPA)</vt:lpstr>
      <vt:lpstr>Compressor (15-2)</vt:lpstr>
      <vt:lpstr>A.5_TG Compression -  SCR</vt:lpstr>
      <vt:lpstr>TG Compression -  SCR (EPA)</vt:lpstr>
      <vt:lpstr>BackUp--&gt;</vt:lpstr>
      <vt:lpstr>Utility Costs</vt:lpstr>
      <vt:lpstr>LNG Turbines - Not Used</vt:lpstr>
      <vt:lpstr>LNG Fuel</vt:lpstr>
      <vt:lpstr>'A.4_PGen -  SCR'!Print_Area</vt:lpstr>
      <vt:lpstr>'A.5_TG Compression -  SCR'!Print_Area</vt:lpstr>
      <vt:lpstr>'Compressor (15-2)'!Print_Area</vt:lpstr>
      <vt:lpstr>'PGen -  SCR (EPA)'!Print_Area</vt:lpstr>
      <vt:lpstr>'PowerGen Comp'!Print_Area</vt:lpstr>
      <vt:lpstr>'SCR - Ammonia'!Print_Area</vt:lpstr>
      <vt:lpstr>'SNCR - Ammonia'!Print_Area</vt:lpstr>
      <vt:lpstr>'SNCR - Urea'!Print_Area</vt:lpstr>
      <vt:lpstr>'TG Compression -  SCR (EPA)'!Print_Area</vt:lpstr>
      <vt:lpstr>'Utility Costs'!Print_Area</vt:lpstr>
      <vt:lpstr>'A.4_PGen -  SCR'!Print_Titles</vt:lpstr>
      <vt:lpstr>'A.5_TG Compression -  SCR'!Print_Titles</vt:lpstr>
      <vt:lpstr>'PGen -  SCR (EPA)'!Print_Titles</vt:lpstr>
      <vt:lpstr>'TG Compression -  SCR (EPA)'!Print_Titles</vt:lpstr>
    </vt:vector>
  </TitlesOfParts>
  <Company>Ashworth Leininger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lkiehl</dc:creator>
  <cp:lastModifiedBy>Jones, David</cp:lastModifiedBy>
  <cp:lastPrinted>2020-01-10T01:35:33Z</cp:lastPrinted>
  <dcterms:created xsi:type="dcterms:W3CDTF">2008-08-06T15:26:23Z</dcterms:created>
  <dcterms:modified xsi:type="dcterms:W3CDTF">2020-08-21T19:48:09Z</dcterms:modified>
</cp:coreProperties>
</file>