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\\usinddc01\Data\Indianapolis\Projects\0497868 Nutrien Kenai Air Permit Rev.DG\Application Documents\Attachment C BACT Documents\"/>
    </mc:Choice>
  </mc:AlternateContent>
  <bookViews>
    <workbookView xWindow="360" yWindow="408" windowWidth="19440" windowHeight="11532" tabRatio="711" activeTab="3"/>
  </bookViews>
  <sheets>
    <sheet name="Boiler Catalyst for CO_VOC" sheetId="5" r:id="rId1"/>
    <sheet name="WH_ST Catalyst for CO_VOC" sheetId="4" r:id="rId2"/>
    <sheet name="Waste Heat Boilers Low NOx Burn" sheetId="2" r:id="rId3"/>
    <sheet name="Solar Turbine Water Injection" sheetId="3" r:id="rId4"/>
  </sheets>
  <externalReferences>
    <externalReference r:id="rId5"/>
  </externalReferences>
  <definedNames>
    <definedName name="_Regression_Out" localSheetId="0" hidden="1">#REF!</definedName>
    <definedName name="_Regression_Out" localSheetId="1" hidden="1">#REF!</definedName>
    <definedName name="_Regression_Out" hidden="1">#REF!</definedName>
    <definedName name="_Regression_X" localSheetId="0" hidden="1">#REF!</definedName>
    <definedName name="_Regression_X" localSheetId="1" hidden="1">#REF!</definedName>
    <definedName name="_Regression_X" hidden="1">#REF!</definedName>
    <definedName name="_Regression_Y" localSheetId="0" hidden="1">#REF!</definedName>
    <definedName name="_Regression_Y" localSheetId="1" hidden="1">#REF!</definedName>
    <definedName name="_Regression_Y" hidden="1">#REF!</definedName>
    <definedName name="CTG_CO_Limit" localSheetId="0">#REF!</definedName>
    <definedName name="CTG_CO_Limit" localSheetId="1">#REF!</definedName>
    <definedName name="CTG_CO_Limit">#REF!</definedName>
    <definedName name="CTG_NOx_Limit" localSheetId="1">#REF!</definedName>
    <definedName name="CTG_NOx_Limit">#REF!</definedName>
    <definedName name="CTG_VOC_Limit" localSheetId="1">#REF!</definedName>
    <definedName name="CTG_VOC_Limit">#REF!</definedName>
    <definedName name="_xlnm.Database" localSheetId="1">#REF!</definedName>
    <definedName name="_xlnm.Database">#REF!</definedName>
    <definedName name="DB_CO_Limit" localSheetId="0">#REF!</definedName>
    <definedName name="DB_CO_Limit" localSheetId="1">#REF!</definedName>
    <definedName name="DB_CO_Limit">#REF!</definedName>
    <definedName name="DB_Hours" localSheetId="0">#REF!</definedName>
    <definedName name="DB_Hours" localSheetId="1">#REF!</definedName>
    <definedName name="DB_Hours">#REF!</definedName>
    <definedName name="DB_NOx_Limit" localSheetId="1">#REF!</definedName>
    <definedName name="DB_NOx_Limit">#REF!</definedName>
    <definedName name="DB_VOC_Limit" localSheetId="1">#REF!</definedName>
    <definedName name="DB_VOC_Limit">#REF!</definedName>
    <definedName name="OXCAT_CO" localSheetId="0">#REF!</definedName>
    <definedName name="OXCAT_CO" localSheetId="1">#REF!</definedName>
    <definedName name="OXCAT_CO">#REF!</definedName>
    <definedName name="OXCAT_CO_CTG" localSheetId="0">#REF!</definedName>
    <definedName name="OXCAT_CO_CTG" localSheetId="1">#REF!</definedName>
    <definedName name="OXCAT_CO_CTG">#REF!</definedName>
    <definedName name="OXCAT_CO_DB" localSheetId="0">#REF!</definedName>
    <definedName name="OXCAT_CO_DB" localSheetId="1">#REF!</definedName>
    <definedName name="OXCAT_CO_DB">#REF!</definedName>
    <definedName name="OXCAT_VOC" localSheetId="0">#REF!</definedName>
    <definedName name="OXCAT_VOC" localSheetId="1">#REF!</definedName>
    <definedName name="OXCAT_VOC">#REF!</definedName>
    <definedName name="_xlnm.Print_Area" localSheetId="0">'Boiler Catalyst for CO_VOC'!$A$1:$H$97</definedName>
    <definedName name="_xlnm.Print_Area" localSheetId="2">'Waste Heat Boilers Low NOx Burn'!$A$1:$L$96</definedName>
    <definedName name="_xlnm.Print_Area" localSheetId="1">'WH_ST Catalyst for CO_VOC'!$A$1:$I$100</definedName>
    <definedName name="_xlnm.Print_Titles" localSheetId="0">'Boiler Catalyst for CO_VOC'!$2:$6</definedName>
    <definedName name="_xlnm.Print_Titles" localSheetId="1">'WH_ST Catalyst for CO_VOC'!$2:$6</definedName>
    <definedName name="RANGE1" localSheetId="0">#REF!</definedName>
    <definedName name="RANGE1" localSheetId="1">#REF!</definedName>
    <definedName name="RANGE1">#REF!</definedName>
    <definedName name="RANGE2" localSheetId="1">#REF!</definedName>
    <definedName name="RANGE2">#REF!</definedName>
    <definedName name="SCONOX" localSheetId="1">#REF!</definedName>
    <definedName name="SCONOX">#REF!</definedName>
    <definedName name="SCR_25" localSheetId="1">#REF!</definedName>
    <definedName name="SCR_25">#REF!</definedName>
    <definedName name="SCR_30" localSheetId="1">#REF!</definedName>
    <definedName name="SCR_30">#REF!</definedName>
    <definedName name="SCR_35" localSheetId="0">#REF!</definedName>
    <definedName name="SCR_35" localSheetId="1">#REF!</definedName>
    <definedName name="SCR_35">#REF!</definedName>
    <definedName name="SCR_Incremental" localSheetId="0">#REF!</definedName>
    <definedName name="SCR_Incremental" localSheetId="1">#REF!</definedName>
    <definedName name="SCR_Incremental">#REF!</definedName>
    <definedName name="ttt" localSheetId="1" hidden="1">#REF!</definedName>
    <definedName name="ttt" hidden="1">#REF!</definedName>
    <definedName name="xxx" localSheetId="1" hidden="1">#REF!</definedName>
    <definedName name="xxx" hidden="1">#REF!</definedName>
    <definedName name="yyy" localSheetId="1" hidden="1">#REF!</definedName>
    <definedName name="yyy" hidden="1">#REF!</definedName>
  </definedNames>
  <calcPr calcId="162913"/>
</workbook>
</file>

<file path=xl/calcChain.xml><?xml version="1.0" encoding="utf-8"?>
<calcChain xmlns="http://schemas.openxmlformats.org/spreadsheetml/2006/main">
  <c r="B80" i="5" l="1"/>
  <c r="B64" i="5"/>
  <c r="B31" i="5"/>
  <c r="B25" i="5"/>
  <c r="B24" i="5"/>
  <c r="B23" i="5"/>
  <c r="B22" i="5"/>
  <c r="B20" i="5"/>
  <c r="B95" i="5" l="1"/>
  <c r="B94" i="5"/>
  <c r="B81" i="5"/>
  <c r="C75" i="5"/>
  <c r="B74" i="5"/>
  <c r="B73" i="5"/>
  <c r="B76" i="5" s="1"/>
  <c r="B77" i="5" s="1"/>
  <c r="B78" i="5" s="1"/>
  <c r="B33" i="5"/>
  <c r="B32" i="5"/>
  <c r="B75" i="5"/>
  <c r="B67" i="5" s="1"/>
  <c r="B68" i="5" s="1"/>
  <c r="B63" i="5"/>
  <c r="B69" i="5" s="1"/>
  <c r="B14" i="5"/>
  <c r="B83" i="5"/>
  <c r="B84" i="5" s="1"/>
  <c r="B85" i="5" s="1"/>
  <c r="B71" i="5" l="1"/>
  <c r="B87" i="5" s="1"/>
  <c r="B34" i="5"/>
  <c r="B35" i="5" s="1"/>
  <c r="B98" i="4"/>
  <c r="B97" i="4"/>
  <c r="B87" i="4"/>
  <c r="B86" i="4"/>
  <c r="B83" i="4"/>
  <c r="B84" i="4" s="1"/>
  <c r="C78" i="4"/>
  <c r="B78" i="4"/>
  <c r="B70" i="4" s="1"/>
  <c r="B71" i="4" s="1"/>
  <c r="B76" i="4"/>
  <c r="B26" i="4"/>
  <c r="B25" i="4"/>
  <c r="B24" i="4"/>
  <c r="B66" i="4" s="1"/>
  <c r="B67" i="4" s="1"/>
  <c r="B18" i="4"/>
  <c r="B77" i="4" s="1"/>
  <c r="B15" i="4"/>
  <c r="B52" i="5" l="1"/>
  <c r="B48" i="5"/>
  <c r="B41" i="5"/>
  <c r="B37" i="5"/>
  <c r="B42" i="5"/>
  <c r="B51" i="5"/>
  <c r="B40" i="5"/>
  <c r="B50" i="5"/>
  <c r="B39" i="5"/>
  <c r="B53" i="5"/>
  <c r="B49" i="5"/>
  <c r="B38" i="5"/>
  <c r="B74" i="4"/>
  <c r="B90" i="4" s="1"/>
  <c r="B72" i="4"/>
  <c r="B88" i="4"/>
  <c r="B79" i="4"/>
  <c r="B80" i="4" s="1"/>
  <c r="B81" i="4" s="1"/>
  <c r="B33" i="4"/>
  <c r="B43" i="5" l="1"/>
  <c r="B46" i="5" s="1"/>
  <c r="B55" i="5"/>
  <c r="B34" i="4"/>
  <c r="B36" i="4"/>
  <c r="B37" i="4" s="1"/>
  <c r="B35" i="4"/>
  <c r="B56" i="5" l="1"/>
  <c r="B89" i="5"/>
  <c r="B88" i="5"/>
  <c r="B90" i="5"/>
  <c r="B91" i="5"/>
  <c r="B54" i="4"/>
  <c r="B50" i="4"/>
  <c r="B43" i="4"/>
  <c r="B53" i="4"/>
  <c r="B42" i="4"/>
  <c r="B52" i="4"/>
  <c r="B41" i="4"/>
  <c r="B55" i="4"/>
  <c r="B51" i="4"/>
  <c r="B44" i="4"/>
  <c r="B40" i="4"/>
  <c r="B39" i="4"/>
  <c r="B92" i="5" l="1"/>
  <c r="B93" i="5" s="1"/>
  <c r="B57" i="4"/>
  <c r="B45" i="4"/>
  <c r="B48" i="4" s="1"/>
  <c r="B58" i="4" s="1"/>
  <c r="B97" i="5" l="1"/>
  <c r="B96" i="5"/>
  <c r="B91" i="4"/>
  <c r="B94" i="4"/>
  <c r="B93" i="4"/>
  <c r="B92" i="4"/>
  <c r="B95" i="4" l="1"/>
  <c r="B96" i="4" s="1"/>
  <c r="B100" i="4" l="1"/>
  <c r="B99" i="4"/>
  <c r="C8" i="2" l="1"/>
  <c r="C8" i="3"/>
  <c r="F89" i="3" l="1"/>
  <c r="F49" i="3" l="1"/>
  <c r="F55" i="3" l="1"/>
  <c r="F21" i="3"/>
  <c r="F89" i="2"/>
  <c r="F26" i="2"/>
  <c r="F21" i="2"/>
  <c r="F79" i="3" l="1"/>
  <c r="F72" i="3"/>
  <c r="F58" i="3"/>
  <c r="F78" i="2"/>
  <c r="F71" i="2"/>
  <c r="F56" i="2"/>
  <c r="F37" i="3" l="1"/>
  <c r="F26" i="3"/>
  <c r="F37" i="2"/>
  <c r="F39" i="3" l="1"/>
  <c r="F82" i="3" s="1"/>
  <c r="F84" i="3" s="1"/>
  <c r="F40" i="2"/>
  <c r="F51" i="3"/>
  <c r="F60" i="3" s="1"/>
  <c r="F74" i="3" s="1"/>
  <c r="F81" i="2" l="1"/>
  <c r="F83" i="2" s="1"/>
  <c r="F50" i="2"/>
  <c r="F58" i="2" s="1"/>
  <c r="F73" i="2" s="1"/>
  <c r="F86" i="3"/>
  <c r="F93" i="3" s="1"/>
  <c r="F86" i="2" l="1"/>
  <c r="F93" i="2" s="1"/>
</calcChain>
</file>

<file path=xl/sharedStrings.xml><?xml version="1.0" encoding="utf-8"?>
<sst xmlns="http://schemas.openxmlformats.org/spreadsheetml/2006/main" count="474" uniqueCount="194">
  <si>
    <t>Source</t>
  </si>
  <si>
    <t>Rated Heat Input (MMBtu/hr)</t>
  </si>
  <si>
    <t>Baseline Emissions</t>
  </si>
  <si>
    <t>Control Efficiency</t>
  </si>
  <si>
    <t xml:space="preserve"> </t>
  </si>
  <si>
    <t>COST COMPONENT:</t>
  </si>
  <si>
    <t>COST (x $1000)</t>
  </si>
  <si>
    <t>DIRECT COSTS</t>
  </si>
  <si>
    <t>Purchased Equipment Costs (Included in TCI)</t>
  </si>
  <si>
    <t>Initial Equipment Costs</t>
  </si>
  <si>
    <t xml:space="preserve">Instrumentation </t>
  </si>
  <si>
    <t xml:space="preserve">Freight </t>
  </si>
  <si>
    <t xml:space="preserve">Taxes </t>
  </si>
  <si>
    <t>Subtotal - Purchased Equipment Costs</t>
  </si>
  <si>
    <t>Direct Installation Costs(Included in TCI)</t>
  </si>
  <si>
    <t>Foundations &amp; supports; handling &amp; erection; electrical; piping; etc. (25% of PEC)</t>
  </si>
  <si>
    <t>Site Preparation / Buildings (25% of PEC)</t>
  </si>
  <si>
    <t>Subtotal - Direct Installation Costs</t>
  </si>
  <si>
    <t>TOTAL DIRECT COSTS (TDC)</t>
  </si>
  <si>
    <t>INDIRECT INSTALLATION COSTS</t>
  </si>
  <si>
    <t>Engineering Costs (10% of Purchased Equip Costs)</t>
  </si>
  <si>
    <t>Construct. &amp; Field Expenses (5% of Purchased Equip Costs)</t>
  </si>
  <si>
    <t>Contractor Fees  (10% Purchased Equip Costs)</t>
  </si>
  <si>
    <t>Start-up and Performance Test (2% of Purchased Equip Costs)</t>
  </si>
  <si>
    <t>Contingency (3% of Purchased Equip Costs)</t>
  </si>
  <si>
    <t>TOTAL INDIRECT COSTS</t>
  </si>
  <si>
    <t>TOTAL CAPITAL INVESTMENT (TCI)</t>
  </si>
  <si>
    <t xml:space="preserve">   </t>
  </si>
  <si>
    <t>ANNUAL DIRECT COSTS</t>
  </si>
  <si>
    <t>Operation and Maintenance Labor</t>
  </si>
  <si>
    <t xml:space="preserve">Operating Labor </t>
  </si>
  <si>
    <t xml:space="preserve">O&amp;M Supervision </t>
  </si>
  <si>
    <t xml:space="preserve">Maintenance Labor and Material (2.75% of PEC) </t>
  </si>
  <si>
    <t>Subtotal - Operation and Maintenance Labor</t>
  </si>
  <si>
    <t>Utilities</t>
  </si>
  <si>
    <t>Subtotal - Utilities</t>
  </si>
  <si>
    <t>TOTAL ANNUAL DIRECT COSTS</t>
  </si>
  <si>
    <t>INDIRECT COSTS</t>
  </si>
  <si>
    <t>Overhead (not applicable)</t>
  </si>
  <si>
    <t>Property Tax (not applicable)</t>
  </si>
  <si>
    <t>Insurance (negligibIe)</t>
  </si>
  <si>
    <t>Administration (not applicable)</t>
  </si>
  <si>
    <t>TOTAL ANNUAL O&amp;M COSTS</t>
  </si>
  <si>
    <t>CAPITAL RECOVERY FACTOR</t>
  </si>
  <si>
    <t>Equipment Life (years) =</t>
  </si>
  <si>
    <t xml:space="preserve">Interest Rate (%) = </t>
  </si>
  <si>
    <t>Capital Recovery Factor</t>
  </si>
  <si>
    <t>CAPITAL RECOVERY COSTS</t>
  </si>
  <si>
    <t>TOTAL CAPITAL REQUIREMENT</t>
  </si>
  <si>
    <t>TOTAL ANNUAL CAPITAL REQUIREMENT</t>
  </si>
  <si>
    <t xml:space="preserve">TOTAL ANNUALIZED COST </t>
  </si>
  <si>
    <t>(Total annual O&amp;M cost and annualized capital cost)</t>
  </si>
  <si>
    <t>TONS OF POLLUTANT REMOVED PER YEAR (baseline * control efficiency)</t>
  </si>
  <si>
    <t>COST-EFFECTIVENESS</t>
  </si>
  <si>
    <t>ENVIRONMENTAL BASIS</t>
  </si>
  <si>
    <t>($ per ton pollutant removed)</t>
  </si>
  <si>
    <t>Waste Heat Boiler</t>
  </si>
  <si>
    <t>Solar Turbine</t>
  </si>
  <si>
    <t>Maintenance Labor and Material</t>
  </si>
  <si>
    <t>Power</t>
  </si>
  <si>
    <t>(Vendor provided in 2013 - Adjusted for 8.51% inflation)</t>
  </si>
  <si>
    <t xml:space="preserve">Baseline Emissions = </t>
  </si>
  <si>
    <t>Baseline Emissions =</t>
  </si>
  <si>
    <t>Heat Input Capacity (55.443 MMBtu/hr) * SCR Controlled Emission Rate (0.041 lb/MMBtu) * (8760 hrs/1 yr) * (1 ton/2000 lbs)</t>
  </si>
  <si>
    <t>Oxidation Catalyst for CO&amp;VOC Control</t>
  </si>
  <si>
    <t>Waste Heat Boiler/Solar Turbine</t>
  </si>
  <si>
    <t>VOC Control Efficiency (%)</t>
  </si>
  <si>
    <t>CO Control Efficiency (%)</t>
  </si>
  <si>
    <t>Facility Input Data</t>
  </si>
  <si>
    <t>Item</t>
  </si>
  <si>
    <t>Value</t>
  </si>
  <si>
    <t>Total Hours per year</t>
  </si>
  <si>
    <t>Economic Life, years</t>
  </si>
  <si>
    <t>Interest Rate (%)</t>
  </si>
  <si>
    <t>CFR</t>
  </si>
  <si>
    <t>SFF</t>
  </si>
  <si>
    <t>Source(s) Controlled</t>
  </si>
  <si>
    <t>Waste Heat Boilers/Solar Turbines</t>
  </si>
  <si>
    <t>Total Flowrate (acfm)</t>
  </si>
  <si>
    <t>Original flowrate from 2013 cost estimate</t>
  </si>
  <si>
    <t>VOC Emission Rate (lb/hr)</t>
  </si>
  <si>
    <t>VOC Emissions (tpy)</t>
  </si>
  <si>
    <t>CO Emission Rate (lb/hr)</t>
  </si>
  <si>
    <t>CO Emissions (tpy)</t>
  </si>
  <si>
    <t>Site Specific Electricity Cost ($/kWh)</t>
  </si>
  <si>
    <t>Site Specific Operating Labor Cost ($/hr)</t>
  </si>
  <si>
    <t>Site Specific Maint. Labor Cost ($/hr)</t>
  </si>
  <si>
    <t>Capital Costs</t>
  </si>
  <si>
    <t>Basis</t>
  </si>
  <si>
    <t>Direct Costs</t>
  </si>
  <si>
    <t>1.) Purchased Equipment Cost</t>
  </si>
  <si>
    <t xml:space="preserve">    a.) Equipment cost + auxiliaries</t>
  </si>
  <si>
    <t>WE ENERGIES reference</t>
  </si>
  <si>
    <t xml:space="preserve">    b.) Instrumentation</t>
  </si>
  <si>
    <t>0.10 x A</t>
  </si>
  <si>
    <t xml:space="preserve">    c.) Sales taxes</t>
  </si>
  <si>
    <t>0.07 x A</t>
  </si>
  <si>
    <t xml:space="preserve">    d.) Freight</t>
  </si>
  <si>
    <t>0.05 x A</t>
  </si>
  <si>
    <t xml:space="preserve">    Total Purchased equipment cost, (PEC)</t>
  </si>
  <si>
    <t>B = 1.22 x A</t>
  </si>
  <si>
    <t>2.) Direct installation costs</t>
  </si>
  <si>
    <t xml:space="preserve">    a.) Foundations and supports</t>
  </si>
  <si>
    <t>0.08 x B</t>
  </si>
  <si>
    <t xml:space="preserve">    b.) Handling and erection</t>
  </si>
  <si>
    <t>0.14 x B</t>
  </si>
  <si>
    <t xml:space="preserve">    c.) Electrical</t>
  </si>
  <si>
    <t>0.04 x B</t>
  </si>
  <si>
    <t xml:space="preserve">    d.) Piping</t>
  </si>
  <si>
    <t>0.02 x B</t>
  </si>
  <si>
    <t xml:space="preserve">    e.) Insulation for ductwork</t>
  </si>
  <si>
    <t>0.01 x B</t>
  </si>
  <si>
    <t xml:space="preserve">    f.) Painting</t>
  </si>
  <si>
    <t xml:space="preserve">    Total direct installation cost</t>
  </si>
  <si>
    <t>0.30 x B</t>
  </si>
  <si>
    <t>3.) Site preparation</t>
  </si>
  <si>
    <t>NA</t>
  </si>
  <si>
    <t>As Required, SP</t>
  </si>
  <si>
    <t>4.) Buildings</t>
  </si>
  <si>
    <t>As Required, Bldg.</t>
  </si>
  <si>
    <t xml:space="preserve">            Total Direct Cost, DC</t>
  </si>
  <si>
    <t>1.30B + SP + Bldg.</t>
  </si>
  <si>
    <t>Indirect Costs (installation)</t>
  </si>
  <si>
    <t>5.) Engineering</t>
  </si>
  <si>
    <t>0.10 x B</t>
  </si>
  <si>
    <t>6.) Construction and field expenses</t>
  </si>
  <si>
    <t>0.05 x B</t>
  </si>
  <si>
    <t>7.) Contractor fees</t>
  </si>
  <si>
    <t>8.) Start-up</t>
  </si>
  <si>
    <t>9.) Performance test</t>
  </si>
  <si>
    <t>10.) Contingencies</t>
  </si>
  <si>
    <t>0.03 x B</t>
  </si>
  <si>
    <t>11.) Maintenance Cost</t>
  </si>
  <si>
    <t xml:space="preserve">            Total Indirect Cost, IC</t>
  </si>
  <si>
    <t>0.31B + Other</t>
  </si>
  <si>
    <t>Total Capital Investment (TCI) = DC + IC</t>
  </si>
  <si>
    <t>1.61B + SP + Bldg. + Other</t>
  </si>
  <si>
    <t>Annual Costs</t>
  </si>
  <si>
    <t>1) Electricity</t>
  </si>
  <si>
    <t xml:space="preserve">  Reagent Pump Requirement (kW)</t>
  </si>
  <si>
    <t>Estimate</t>
  </si>
  <si>
    <t xml:space="preserve">  Electric Power Cost ($/kWh)</t>
  </si>
  <si>
    <t xml:space="preserve">  Cost ($/yr)</t>
  </si>
  <si>
    <t xml:space="preserve">2) Operating Costs </t>
  </si>
  <si>
    <t xml:space="preserve">  Operating Labor Requirement (hr/hours of operation)</t>
  </si>
  <si>
    <t>Estimate - 1/2 hr/shift</t>
  </si>
  <si>
    <t>N/A</t>
  </si>
  <si>
    <t xml:space="preserve">  Unit Cost ($/hr)</t>
  </si>
  <si>
    <t xml:space="preserve">  Labor Cost ($/yr)</t>
  </si>
  <si>
    <t>Calculation</t>
  </si>
  <si>
    <t xml:space="preserve">Total Operating Costs </t>
  </si>
  <si>
    <t>3) Supervisory Labor</t>
  </si>
  <si>
    <t>15% Operating Labor</t>
  </si>
  <si>
    <t>OAQPS</t>
  </si>
  <si>
    <t>4) Maintenance</t>
  </si>
  <si>
    <t xml:space="preserve">  Maintenance Labor Req. (hr/year)</t>
  </si>
  <si>
    <t xml:space="preserve">  Catalyst Replacement Labor Req. (hr/yr)</t>
  </si>
  <si>
    <t xml:space="preserve">  Material Cost ($/yr)</t>
  </si>
  <si>
    <t>100% of Maintenance Labor</t>
  </si>
  <si>
    <t xml:space="preserve">  Total Cost ($/yr)</t>
  </si>
  <si>
    <t>5) Catalyst Replacement</t>
  </si>
  <si>
    <t xml:space="preserve">  Catalyst Cost ($)</t>
  </si>
  <si>
    <t>WE ENERGIES</t>
  </si>
  <si>
    <t xml:space="preserve">  Sales Tax ($)</t>
  </si>
  <si>
    <t>0% Sales Tax</t>
  </si>
  <si>
    <t xml:space="preserve">  Catalyst Life (yrs)</t>
  </si>
  <si>
    <t>n</t>
  </si>
  <si>
    <t xml:space="preserve">  Interest Rate (%)</t>
  </si>
  <si>
    <t>i</t>
  </si>
  <si>
    <t xml:space="preserve">  Factor</t>
  </si>
  <si>
    <t xml:space="preserve">  Annual Cost ($/yr)</t>
  </si>
  <si>
    <t>(Volume)(Unit Cost)(CRF)</t>
  </si>
  <si>
    <t>6) Indirect Annual Costs</t>
  </si>
  <si>
    <t xml:space="preserve">  Overhead</t>
  </si>
  <si>
    <t>60% of O&amp;M Costs</t>
  </si>
  <si>
    <t xml:space="preserve">  Administration</t>
  </si>
  <si>
    <t>2% of Total Capital Investment</t>
  </si>
  <si>
    <t xml:space="preserve">  Property Tax</t>
  </si>
  <si>
    <t>1% of Total Capital Investment</t>
  </si>
  <si>
    <t xml:space="preserve">  Insurance</t>
  </si>
  <si>
    <t xml:space="preserve">  Capital Recovery</t>
  </si>
  <si>
    <t>20 yr life; 7% interest (-cat. cost)</t>
  </si>
  <si>
    <t>Total Indirect ($/yr)</t>
  </si>
  <si>
    <t>Total Annualized Cost ($/yr)</t>
  </si>
  <si>
    <t>Total VOC Controlled (tpy)</t>
  </si>
  <si>
    <t>Total CO Controlled (tpy)</t>
  </si>
  <si>
    <t>VOC Cost Effectiveness ($/ton)</t>
  </si>
  <si>
    <t>CO Cost Effectiveness ($/ton)</t>
  </si>
  <si>
    <t>KNO Restart</t>
  </si>
  <si>
    <t>Package Boilers</t>
  </si>
  <si>
    <t>Appendix B</t>
  </si>
  <si>
    <t>Low NOx Burners for Waste Heat Boilers</t>
  </si>
  <si>
    <t>Water injection for NOx control on Solar Turbines</t>
  </si>
  <si>
    <r>
      <t>Heat Input Capacity (46.729 MMBtu/hr) * AP-42 CO Ef. Sm. Boiler (100 lb/10</t>
    </r>
    <r>
      <rPr>
        <vertAlign val="superscript"/>
        <sz val="10"/>
        <rFont val="Arial"/>
        <family val="2"/>
      </rPr>
      <t xml:space="preserve">6 </t>
    </r>
    <r>
      <rPr>
        <sz val="10"/>
        <rFont val="Arial"/>
        <family val="2"/>
      </rPr>
      <t>scf) * (1 MMBtu/ 1,020 scf) * (8760 hrs/1 yr) * (1 ton/2000 lbs)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</si>
</sst>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0.0000"/>
    <numFmt numFmtId="166" formatCode="&quot;$&quot;#,##0"/>
    <numFmt numFmtId="167" formatCode="0.000"/>
    <numFmt numFmtId="168" formatCode="&quot;$&quot;#,##0.00"/>
    <numFmt numFmtId="169" formatCode="_(* #,##0_);_(* \(#,##0\);_(* &quot;-&quot;??_);_(@_)"/>
    <numFmt numFmtId="170" formatCode="#,##0.0"/>
  </numFmts>
  <fonts count="24">
    <font>
      <sz val="10"/>
      <name val="Arial"/>
    </font>
    <font>
      <sz val="10"/>
      <name val="Tms Rmn"/>
    </font>
    <font>
      <sz val="10"/>
      <name val="Arial"/>
      <family val="2"/>
    </font>
    <font>
      <sz val="10"/>
      <name val="Arial MT"/>
    </font>
    <font>
      <sz val="12"/>
      <name val="Arial"/>
      <family val="2"/>
    </font>
    <font>
      <b/>
      <sz val="11"/>
      <name val="Arial"/>
      <family val="2"/>
    </font>
    <font>
      <b/>
      <u/>
      <sz val="11"/>
      <name val="Arial"/>
      <family val="2"/>
    </font>
    <font>
      <sz val="11"/>
      <name val="Arial"/>
      <family val="2"/>
    </font>
    <font>
      <sz val="12"/>
      <color rgb="FFFF0000"/>
      <name val="Arial"/>
      <family val="2"/>
    </font>
    <font>
      <b/>
      <sz val="14"/>
      <name val="Arial"/>
      <family val="2"/>
    </font>
    <font>
      <b/>
      <u/>
      <sz val="14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i/>
      <sz val="12"/>
      <name val="Arial"/>
      <family val="2"/>
    </font>
    <font>
      <b/>
      <i/>
      <sz val="12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sz val="10"/>
      <color indexed="10"/>
      <name val="Arial"/>
      <family val="2"/>
    </font>
    <font>
      <vertAlign val="superscript"/>
      <sz val="9"/>
      <name val="Arial"/>
      <family val="2"/>
    </font>
    <font>
      <vertAlign val="superscript"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8"/>
      </patternFill>
    </fill>
    <fill>
      <patternFill patternType="solid">
        <fgColor rgb="FFFFFF00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7">
    <xf numFmtId="0" fontId="0" fillId="0" borderId="0"/>
    <xf numFmtId="0" fontId="1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" fillId="0" borderId="0"/>
    <xf numFmtId="0" fontId="3" fillId="0" borderId="0"/>
  </cellStyleXfs>
  <cellXfs count="300">
    <xf numFmtId="0" fontId="0" fillId="0" borderId="0" xfId="0"/>
    <xf numFmtId="0" fontId="4" fillId="0" borderId="0" xfId="6" applyFont="1"/>
    <xf numFmtId="0" fontId="5" fillId="0" borderId="0" xfId="5" applyFont="1" applyFill="1" applyAlignment="1" applyProtection="1"/>
    <xf numFmtId="0" fontId="5" fillId="0" borderId="0" xfId="5" applyFont="1" applyFill="1" applyAlignment="1" applyProtection="1">
      <alignment horizontal="center"/>
    </xf>
    <xf numFmtId="0" fontId="6" fillId="0" borderId="0" xfId="5" applyFont="1" applyAlignment="1" applyProtection="1"/>
    <xf numFmtId="0" fontId="6" fillId="0" borderId="0" xfId="5" applyFont="1" applyAlignment="1" applyProtection="1">
      <alignment horizontal="center"/>
    </xf>
    <xf numFmtId="0" fontId="5" fillId="0" borderId="0" xfId="5" applyFont="1" applyAlignment="1" applyProtection="1"/>
    <xf numFmtId="0" fontId="5" fillId="0" borderId="0" xfId="5" applyFont="1" applyAlignment="1" applyProtection="1">
      <alignment horizontal="center"/>
    </xf>
    <xf numFmtId="0" fontId="4" fillId="0" borderId="0" xfId="6" applyFont="1" applyProtection="1"/>
    <xf numFmtId="0" fontId="7" fillId="0" borderId="18" xfId="6" applyFont="1" applyBorder="1" applyProtection="1"/>
    <xf numFmtId="1" fontId="7" fillId="0" borderId="19" xfId="4" applyNumberFormat="1" applyFont="1" applyFill="1" applyBorder="1" applyProtection="1"/>
    <xf numFmtId="0" fontId="7" fillId="0" borderId="0" xfId="6" applyFont="1" applyAlignment="1">
      <alignment horizontal="center"/>
    </xf>
    <xf numFmtId="0" fontId="7" fillId="0" borderId="20" xfId="6" applyFont="1" applyFill="1" applyBorder="1" applyProtection="1"/>
    <xf numFmtId="0" fontId="7" fillId="0" borderId="21" xfId="6" applyFont="1" applyFill="1" applyBorder="1" applyProtection="1"/>
    <xf numFmtId="0" fontId="7" fillId="0" borderId="0" xfId="6" applyFont="1"/>
    <xf numFmtId="0" fontId="5" fillId="0" borderId="0" xfId="6" applyFont="1" applyProtection="1"/>
    <xf numFmtId="0" fontId="5" fillId="2" borderId="22" xfId="6" applyFont="1" applyFill="1" applyBorder="1" applyAlignment="1" applyProtection="1">
      <alignment horizontal="center"/>
    </xf>
    <xf numFmtId="0" fontId="5" fillId="2" borderId="23" xfId="6" applyFont="1" applyFill="1" applyBorder="1" applyAlignment="1" applyProtection="1">
      <alignment horizontal="center"/>
    </xf>
    <xf numFmtId="0" fontId="7" fillId="0" borderId="24" xfId="6" applyFont="1" applyBorder="1" applyAlignment="1" applyProtection="1">
      <alignment horizontal="left"/>
    </xf>
    <xf numFmtId="0" fontId="7" fillId="0" borderId="25" xfId="6" applyNumberFormat="1" applyFont="1" applyFill="1" applyBorder="1" applyProtection="1"/>
    <xf numFmtId="0" fontId="7" fillId="0" borderId="24" xfId="6" applyFont="1" applyFill="1" applyBorder="1" applyProtection="1"/>
    <xf numFmtId="1" fontId="7" fillId="0" borderId="25" xfId="6" applyNumberFormat="1" applyFont="1" applyFill="1" applyBorder="1" applyProtection="1"/>
    <xf numFmtId="165" fontId="7" fillId="0" borderId="25" xfId="6" applyNumberFormat="1" applyFont="1" applyFill="1" applyBorder="1" applyProtection="1"/>
    <xf numFmtId="0" fontId="7" fillId="0" borderId="24" xfId="6" applyFont="1" applyBorder="1" applyProtection="1"/>
    <xf numFmtId="0" fontId="7" fillId="0" borderId="25" xfId="6" applyNumberFormat="1" applyFont="1" applyFill="1" applyBorder="1" applyAlignment="1" applyProtection="1">
      <alignment horizontal="right"/>
      <protection locked="0"/>
    </xf>
    <xf numFmtId="0" fontId="7" fillId="3" borderId="25" xfId="6" applyNumberFormat="1" applyFont="1" applyFill="1" applyBorder="1" applyAlignment="1" applyProtection="1">
      <alignment horizontal="right"/>
      <protection locked="0"/>
    </xf>
    <xf numFmtId="3" fontId="7" fillId="3" borderId="25" xfId="6" applyNumberFormat="1" applyFont="1" applyFill="1" applyBorder="1" applyProtection="1">
      <protection locked="0"/>
    </xf>
    <xf numFmtId="4" fontId="7" fillId="0" borderId="25" xfId="6" applyNumberFormat="1" applyFont="1" applyFill="1" applyBorder="1" applyProtection="1">
      <protection locked="0"/>
    </xf>
    <xf numFmtId="4" fontId="7" fillId="0" borderId="25" xfId="6" applyNumberFormat="1" applyFont="1" applyBorder="1" applyProtection="1">
      <protection locked="0"/>
    </xf>
    <xf numFmtId="167" fontId="7" fillId="0" borderId="25" xfId="6" applyNumberFormat="1" applyFont="1" applyFill="1" applyBorder="1" applyAlignment="1" applyProtection="1">
      <alignment horizontal="right"/>
      <protection locked="0"/>
    </xf>
    <xf numFmtId="0" fontId="2" fillId="0" borderId="0" xfId="1" applyFont="1"/>
    <xf numFmtId="168" fontId="7" fillId="0" borderId="25" xfId="6" applyNumberFormat="1" applyFont="1" applyFill="1" applyBorder="1" applyAlignment="1" applyProtection="1">
      <alignment horizontal="right"/>
      <protection locked="0"/>
    </xf>
    <xf numFmtId="0" fontId="7" fillId="0" borderId="20" xfId="6" applyFont="1" applyBorder="1" applyProtection="1"/>
    <xf numFmtId="168" fontId="7" fillId="0" borderId="26" xfId="6" applyNumberFormat="1" applyFont="1" applyFill="1" applyBorder="1" applyAlignment="1" applyProtection="1">
      <alignment horizontal="right"/>
      <protection locked="0"/>
    </xf>
    <xf numFmtId="0" fontId="5" fillId="2" borderId="27" xfId="6" applyFont="1" applyFill="1" applyBorder="1" applyAlignment="1" applyProtection="1">
      <alignment horizontal="center"/>
    </xf>
    <xf numFmtId="0" fontId="5" fillId="2" borderId="28" xfId="6" applyFont="1" applyFill="1" applyBorder="1" applyAlignment="1" applyProtection="1">
      <alignment horizontal="center"/>
    </xf>
    <xf numFmtId="0" fontId="5" fillId="0" borderId="24" xfId="6" applyFont="1" applyBorder="1" applyProtection="1"/>
    <xf numFmtId="0" fontId="7" fillId="0" borderId="0" xfId="6" applyFont="1" applyProtection="1"/>
    <xf numFmtId="0" fontId="7" fillId="0" borderId="29" xfId="6" applyFont="1" applyBorder="1" applyAlignment="1" applyProtection="1">
      <alignment horizontal="center"/>
    </xf>
    <xf numFmtId="43" fontId="7" fillId="0" borderId="0" xfId="2" applyFont="1" applyProtection="1"/>
    <xf numFmtId="5" fontId="7" fillId="0" borderId="0" xfId="6" applyNumberFormat="1" applyFont="1" applyFill="1" applyProtection="1"/>
    <xf numFmtId="0" fontId="7" fillId="0" borderId="29" xfId="6" applyFont="1" applyFill="1" applyBorder="1" applyAlignment="1" applyProtection="1">
      <alignment horizontal="center"/>
    </xf>
    <xf numFmtId="3" fontId="8" fillId="0" borderId="0" xfId="6" applyNumberFormat="1" applyFont="1"/>
    <xf numFmtId="0" fontId="8" fillId="0" borderId="0" xfId="6" applyFont="1"/>
    <xf numFmtId="5" fontId="7" fillId="0" borderId="0" xfId="6" applyNumberFormat="1" applyFont="1" applyProtection="1"/>
    <xf numFmtId="5" fontId="7" fillId="0" borderId="30" xfId="6" applyNumberFormat="1" applyFont="1" applyBorder="1" applyProtection="1"/>
    <xf numFmtId="0" fontId="7" fillId="0" borderId="21" xfId="6" applyFont="1" applyBorder="1" applyAlignment="1" applyProtection="1">
      <alignment horizontal="center"/>
    </xf>
    <xf numFmtId="5" fontId="7" fillId="0" borderId="0" xfId="6" applyNumberFormat="1" applyFont="1" applyAlignment="1" applyProtection="1">
      <alignment horizontal="right"/>
    </xf>
    <xf numFmtId="5" fontId="4" fillId="0" borderId="0" xfId="6" applyNumberFormat="1" applyFont="1"/>
    <xf numFmtId="5" fontId="7" fillId="0" borderId="30" xfId="6" applyNumberFormat="1" applyFont="1" applyBorder="1" applyAlignment="1" applyProtection="1">
      <alignment horizontal="right"/>
    </xf>
    <xf numFmtId="5" fontId="7" fillId="0" borderId="0" xfId="6" applyNumberFormat="1" applyFont="1" applyBorder="1" applyProtection="1"/>
    <xf numFmtId="0" fontId="5" fillId="0" borderId="31" xfId="6" applyFont="1" applyBorder="1" applyProtection="1"/>
    <xf numFmtId="5" fontId="7" fillId="0" borderId="32" xfId="6" applyNumberFormat="1" applyFont="1" applyBorder="1" applyProtection="1"/>
    <xf numFmtId="0" fontId="7" fillId="0" borderId="33" xfId="6" applyFont="1" applyBorder="1" applyAlignment="1" applyProtection="1">
      <alignment horizontal="center"/>
    </xf>
    <xf numFmtId="0" fontId="5" fillId="0" borderId="20" xfId="6" applyFont="1" applyBorder="1" applyProtection="1"/>
    <xf numFmtId="5" fontId="5" fillId="0" borderId="30" xfId="6" applyNumberFormat="1" applyFont="1" applyBorder="1" applyProtection="1"/>
    <xf numFmtId="0" fontId="5" fillId="0" borderId="21" xfId="6" applyFont="1" applyBorder="1" applyAlignment="1" applyProtection="1">
      <alignment horizontal="center"/>
    </xf>
    <xf numFmtId="0" fontId="5" fillId="0" borderId="0" xfId="6" applyFont="1" applyBorder="1" applyAlignment="1" applyProtection="1">
      <alignment horizontal="center"/>
    </xf>
    <xf numFmtId="0" fontId="5" fillId="2" borderId="34" xfId="6" applyFont="1" applyFill="1" applyBorder="1" applyAlignment="1" applyProtection="1">
      <alignment horizontal="center"/>
    </xf>
    <xf numFmtId="0" fontId="5" fillId="0" borderId="35" xfId="6" applyFont="1" applyBorder="1" applyProtection="1"/>
    <xf numFmtId="0" fontId="7" fillId="0" borderId="35" xfId="6" applyFont="1" applyBorder="1" applyAlignment="1" applyProtection="1">
      <alignment horizontal="right"/>
    </xf>
    <xf numFmtId="0" fontId="7" fillId="0" borderId="35" xfId="6" applyFont="1" applyBorder="1" applyAlignment="1" applyProtection="1">
      <alignment horizontal="center"/>
    </xf>
    <xf numFmtId="0" fontId="7" fillId="0" borderId="25" xfId="6" applyFont="1" applyBorder="1" applyProtection="1"/>
    <xf numFmtId="169" fontId="7" fillId="0" borderId="25" xfId="2" quotePrefix="1" applyNumberFormat="1" applyFont="1" applyFill="1" applyBorder="1" applyAlignment="1" applyProtection="1">
      <alignment horizontal="right"/>
    </xf>
    <xf numFmtId="0" fontId="7" fillId="0" borderId="25" xfId="6" applyFont="1" applyBorder="1" applyAlignment="1" applyProtection="1">
      <alignment horizontal="center"/>
    </xf>
    <xf numFmtId="0" fontId="7" fillId="0" borderId="36" xfId="6" applyFont="1" applyBorder="1" applyAlignment="1" applyProtection="1">
      <alignment horizontal="center"/>
    </xf>
    <xf numFmtId="2" fontId="7" fillId="0" borderId="25" xfId="6" applyNumberFormat="1" applyFont="1" applyFill="1" applyBorder="1" applyAlignment="1" applyProtection="1">
      <alignment horizontal="right"/>
    </xf>
    <xf numFmtId="5" fontId="7" fillId="0" borderId="25" xfId="6" applyNumberFormat="1" applyFont="1" applyBorder="1" applyAlignment="1" applyProtection="1">
      <alignment horizontal="right"/>
    </xf>
    <xf numFmtId="0" fontId="5" fillId="0" borderId="37" xfId="6" applyFont="1" applyBorder="1" applyProtection="1"/>
    <xf numFmtId="0" fontId="7" fillId="0" borderId="37" xfId="6" applyFont="1" applyBorder="1" applyAlignment="1" applyProtection="1">
      <alignment horizontal="right"/>
    </xf>
    <xf numFmtId="0" fontId="7" fillId="0" borderId="37" xfId="6" applyFont="1" applyBorder="1" applyAlignment="1" applyProtection="1">
      <alignment horizontal="center"/>
    </xf>
    <xf numFmtId="0" fontId="7" fillId="0" borderId="36" xfId="6" applyFont="1" applyBorder="1" applyProtection="1"/>
    <xf numFmtId="0" fontId="7" fillId="0" borderId="36" xfId="6" applyFont="1" applyFill="1" applyBorder="1" applyAlignment="1" applyProtection="1">
      <alignment horizontal="right"/>
    </xf>
    <xf numFmtId="0" fontId="7" fillId="0" borderId="36" xfId="6" applyFont="1" applyFill="1" applyBorder="1" applyAlignment="1" applyProtection="1">
      <alignment horizontal="center"/>
    </xf>
    <xf numFmtId="7" fontId="7" fillId="0" borderId="36" xfId="6" applyNumberFormat="1" applyFont="1" applyBorder="1" applyAlignment="1" applyProtection="1">
      <alignment horizontal="right"/>
    </xf>
    <xf numFmtId="0" fontId="7" fillId="0" borderId="38" xfId="6" applyFont="1" applyBorder="1" applyProtection="1"/>
    <xf numFmtId="5" fontId="7" fillId="0" borderId="38" xfId="6" applyNumberFormat="1" applyFont="1" applyFill="1" applyBorder="1" applyAlignment="1" applyProtection="1">
      <alignment horizontal="right"/>
    </xf>
    <xf numFmtId="0" fontId="7" fillId="0" borderId="38" xfId="6" applyFont="1" applyBorder="1" applyAlignment="1" applyProtection="1">
      <alignment horizontal="center"/>
    </xf>
    <xf numFmtId="0" fontId="5" fillId="0" borderId="39" xfId="6" applyFont="1" applyBorder="1" applyProtection="1"/>
    <xf numFmtId="5" fontId="5" fillId="0" borderId="39" xfId="6" applyNumberFormat="1" applyFont="1" applyBorder="1" applyAlignment="1" applyProtection="1">
      <alignment horizontal="right"/>
    </xf>
    <xf numFmtId="0" fontId="7" fillId="0" borderId="39" xfId="6" applyFont="1" applyBorder="1" applyAlignment="1" applyProtection="1">
      <alignment horizontal="center"/>
    </xf>
    <xf numFmtId="5" fontId="7" fillId="0" borderId="38" xfId="6" applyNumberFormat="1" applyFont="1" applyBorder="1" applyAlignment="1" applyProtection="1">
      <alignment horizontal="right"/>
    </xf>
    <xf numFmtId="170" fontId="7" fillId="0" borderId="36" xfId="6" applyNumberFormat="1" applyFont="1" applyFill="1" applyBorder="1" applyAlignment="1" applyProtection="1">
      <alignment horizontal="right"/>
    </xf>
    <xf numFmtId="5" fontId="7" fillId="0" borderId="36" xfId="6" applyNumberFormat="1" applyFont="1" applyBorder="1" applyAlignment="1" applyProtection="1">
      <alignment horizontal="right"/>
    </xf>
    <xf numFmtId="0" fontId="7" fillId="0" borderId="36" xfId="6" applyFont="1" applyFill="1" applyBorder="1" applyProtection="1"/>
    <xf numFmtId="5" fontId="7" fillId="0" borderId="36" xfId="6" applyNumberFormat="1" applyFont="1" applyFill="1" applyBorder="1" applyAlignment="1" applyProtection="1">
      <alignment horizontal="right"/>
    </xf>
    <xf numFmtId="1" fontId="4" fillId="0" borderId="0" xfId="6" applyNumberFormat="1" applyFont="1"/>
    <xf numFmtId="1" fontId="7" fillId="0" borderId="36" xfId="6" applyNumberFormat="1" applyFont="1" applyFill="1" applyBorder="1" applyAlignment="1" applyProtection="1">
      <alignment horizontal="right"/>
    </xf>
    <xf numFmtId="167" fontId="7" fillId="0" borderId="36" xfId="6" applyNumberFormat="1" applyFont="1" applyFill="1" applyBorder="1" applyAlignment="1" applyProtection="1">
      <alignment horizontal="right"/>
    </xf>
    <xf numFmtId="1" fontId="8" fillId="0" borderId="0" xfId="6" applyNumberFormat="1" applyFont="1"/>
    <xf numFmtId="5" fontId="8" fillId="0" borderId="0" xfId="3" applyNumberFormat="1" applyFont="1"/>
    <xf numFmtId="5" fontId="4" fillId="0" borderId="0" xfId="3" applyNumberFormat="1" applyFont="1"/>
    <xf numFmtId="1" fontId="4" fillId="0" borderId="0" xfId="3" applyNumberFormat="1" applyFont="1"/>
    <xf numFmtId="0" fontId="7" fillId="0" borderId="40" xfId="6" applyFont="1" applyBorder="1" applyProtection="1"/>
    <xf numFmtId="5" fontId="7" fillId="0" borderId="40" xfId="6" applyNumberFormat="1" applyFont="1" applyFill="1" applyBorder="1" applyAlignment="1" applyProtection="1">
      <alignment horizontal="right"/>
    </xf>
    <xf numFmtId="0" fontId="7" fillId="0" borderId="40" xfId="6" applyFont="1" applyBorder="1" applyAlignment="1" applyProtection="1">
      <alignment horizontal="center"/>
    </xf>
    <xf numFmtId="0" fontId="5" fillId="0" borderId="4" xfId="6" applyFont="1" applyBorder="1" applyProtection="1"/>
    <xf numFmtId="5" fontId="5" fillId="0" borderId="5" xfId="6" applyNumberFormat="1" applyFont="1" applyFill="1" applyBorder="1" applyAlignment="1" applyProtection="1">
      <alignment horizontal="right"/>
    </xf>
    <xf numFmtId="0" fontId="7" fillId="0" borderId="0" xfId="6" applyFont="1" applyBorder="1" applyAlignment="1" applyProtection="1">
      <alignment horizontal="center"/>
    </xf>
    <xf numFmtId="167" fontId="5" fillId="0" borderId="5" xfId="6" applyNumberFormat="1" applyFont="1" applyFill="1" applyBorder="1" applyAlignment="1" applyProtection="1">
      <alignment horizontal="right"/>
    </xf>
    <xf numFmtId="166" fontId="5" fillId="0" borderId="5" xfId="3" applyNumberFormat="1" applyFont="1" applyFill="1" applyBorder="1" applyAlignment="1" applyProtection="1">
      <alignment horizontal="right"/>
    </xf>
    <xf numFmtId="0" fontId="5" fillId="0" borderId="6" xfId="6" applyFont="1" applyBorder="1" applyProtection="1"/>
    <xf numFmtId="5" fontId="5" fillId="0" borderId="8" xfId="6" applyNumberFormat="1" applyFont="1" applyFill="1" applyBorder="1" applyAlignment="1" applyProtection="1">
      <alignment horizontal="right"/>
    </xf>
    <xf numFmtId="0" fontId="2" fillId="0" borderId="0" xfId="6" applyFont="1"/>
    <xf numFmtId="0" fontId="9" fillId="0" borderId="0" xfId="5" applyFont="1" applyFill="1" applyAlignment="1" applyProtection="1"/>
    <xf numFmtId="0" fontId="10" fillId="0" borderId="0" xfId="5" applyFont="1" applyAlignment="1" applyProtection="1"/>
    <xf numFmtId="0" fontId="11" fillId="0" borderId="0" xfId="5" applyFont="1" applyAlignment="1" applyProtection="1"/>
    <xf numFmtId="0" fontId="12" fillId="0" borderId="0" xfId="6" applyFont="1" applyProtection="1"/>
    <xf numFmtId="0" fontId="2" fillId="0" borderId="0" xfId="6" applyFont="1" applyAlignment="1">
      <alignment horizontal="center"/>
    </xf>
    <xf numFmtId="0" fontId="13" fillId="0" borderId="18" xfId="6" applyFont="1" applyBorder="1" applyProtection="1"/>
    <xf numFmtId="1" fontId="13" fillId="0" borderId="19" xfId="4" applyNumberFormat="1" applyFont="1" applyFill="1" applyBorder="1" applyProtection="1"/>
    <xf numFmtId="0" fontId="13" fillId="0" borderId="20" xfId="6" applyFont="1" applyFill="1" applyBorder="1" applyProtection="1"/>
    <xf numFmtId="0" fontId="13" fillId="0" borderId="21" xfId="6" applyFont="1" applyFill="1" applyBorder="1" applyProtection="1"/>
    <xf numFmtId="0" fontId="11" fillId="0" borderId="0" xfId="6" applyFont="1" applyProtection="1"/>
    <xf numFmtId="0" fontId="14" fillId="2" borderId="22" xfId="6" applyFont="1" applyFill="1" applyBorder="1" applyAlignment="1" applyProtection="1">
      <alignment horizontal="center"/>
    </xf>
    <xf numFmtId="0" fontId="14" fillId="2" borderId="23" xfId="6" applyFont="1" applyFill="1" applyBorder="1" applyAlignment="1" applyProtection="1">
      <alignment horizontal="center"/>
    </xf>
    <xf numFmtId="0" fontId="13" fillId="0" borderId="24" xfId="6" applyFont="1" applyBorder="1" applyAlignment="1" applyProtection="1">
      <alignment horizontal="left"/>
    </xf>
    <xf numFmtId="0" fontId="13" fillId="0" borderId="25" xfId="6" applyNumberFormat="1" applyFont="1" applyFill="1" applyBorder="1" applyProtection="1"/>
    <xf numFmtId="0" fontId="13" fillId="0" borderId="24" xfId="6" applyFont="1" applyFill="1" applyBorder="1" applyProtection="1"/>
    <xf numFmtId="1" fontId="13" fillId="0" borderId="25" xfId="6" applyNumberFormat="1" applyFont="1" applyFill="1" applyBorder="1" applyProtection="1"/>
    <xf numFmtId="165" fontId="13" fillId="0" borderId="25" xfId="6" applyNumberFormat="1" applyFont="1" applyFill="1" applyBorder="1" applyProtection="1"/>
    <xf numFmtId="0" fontId="13" fillId="0" borderId="24" xfId="6" applyFont="1" applyBorder="1" applyProtection="1"/>
    <xf numFmtId="0" fontId="13" fillId="0" borderId="25" xfId="6" applyNumberFormat="1" applyFont="1" applyFill="1" applyBorder="1" applyAlignment="1" applyProtection="1">
      <alignment horizontal="right"/>
      <protection locked="0"/>
    </xf>
    <xf numFmtId="3" fontId="13" fillId="0" borderId="25" xfId="6" applyNumberFormat="1" applyFont="1" applyFill="1" applyBorder="1" applyProtection="1">
      <protection locked="0"/>
    </xf>
    <xf numFmtId="0" fontId="2" fillId="0" borderId="0" xfId="6" applyFont="1" applyAlignment="1">
      <alignment horizontal="left"/>
    </xf>
    <xf numFmtId="4" fontId="13" fillId="0" borderId="25" xfId="6" applyNumberFormat="1" applyFont="1" applyFill="1" applyBorder="1" applyProtection="1">
      <protection locked="0"/>
    </xf>
    <xf numFmtId="167" fontId="13" fillId="0" borderId="25" xfId="6" applyNumberFormat="1" applyFont="1" applyFill="1" applyBorder="1" applyAlignment="1" applyProtection="1">
      <alignment horizontal="right"/>
      <protection locked="0"/>
    </xf>
    <xf numFmtId="168" fontId="13" fillId="0" borderId="25" xfId="6" applyNumberFormat="1" applyFont="1" applyFill="1" applyBorder="1" applyAlignment="1" applyProtection="1">
      <alignment horizontal="right"/>
      <protection locked="0"/>
    </xf>
    <xf numFmtId="0" fontId="13" fillId="0" borderId="20" xfId="6" applyFont="1" applyBorder="1" applyProtection="1"/>
    <xf numFmtId="168" fontId="13" fillId="0" borderId="26" xfId="6" applyNumberFormat="1" applyFont="1" applyFill="1" applyBorder="1" applyAlignment="1" applyProtection="1">
      <alignment horizontal="right"/>
      <protection locked="0"/>
    </xf>
    <xf numFmtId="0" fontId="14" fillId="2" borderId="27" xfId="6" applyFont="1" applyFill="1" applyBorder="1" applyAlignment="1" applyProtection="1">
      <alignment horizontal="center"/>
    </xf>
    <xf numFmtId="0" fontId="14" fillId="2" borderId="28" xfId="6" applyFont="1" applyFill="1" applyBorder="1" applyAlignment="1" applyProtection="1">
      <alignment horizontal="center"/>
    </xf>
    <xf numFmtId="0" fontId="14" fillId="0" borderId="24" xfId="6" applyFont="1" applyBorder="1" applyProtection="1"/>
    <xf numFmtId="0" fontId="13" fillId="0" borderId="0" xfId="6" applyFont="1" applyProtection="1"/>
    <xf numFmtId="0" fontId="13" fillId="0" borderId="29" xfId="6" applyFont="1" applyBorder="1" applyAlignment="1" applyProtection="1">
      <alignment horizontal="center"/>
    </xf>
    <xf numFmtId="43" fontId="13" fillId="0" borderId="0" xfId="2" applyFont="1" applyProtection="1"/>
    <xf numFmtId="5" fontId="13" fillId="0" borderId="0" xfId="6" applyNumberFormat="1" applyFont="1" applyFill="1" applyProtection="1"/>
    <xf numFmtId="0" fontId="13" fillId="0" borderId="29" xfId="6" applyFont="1" applyFill="1" applyBorder="1" applyAlignment="1" applyProtection="1">
      <alignment horizontal="center"/>
    </xf>
    <xf numFmtId="3" fontId="15" fillId="0" borderId="0" xfId="6" applyNumberFormat="1" applyFont="1"/>
    <xf numFmtId="0" fontId="15" fillId="0" borderId="0" xfId="6" applyFont="1"/>
    <xf numFmtId="5" fontId="13" fillId="0" borderId="0" xfId="6" applyNumberFormat="1" applyFont="1" applyProtection="1"/>
    <xf numFmtId="5" fontId="13" fillId="0" borderId="30" xfId="6" applyNumberFormat="1" applyFont="1" applyBorder="1" applyProtection="1"/>
    <xf numFmtId="0" fontId="13" fillId="0" borderId="21" xfId="6" applyFont="1" applyBorder="1" applyAlignment="1" applyProtection="1">
      <alignment horizontal="center"/>
    </xf>
    <xf numFmtId="5" fontId="13" fillId="0" borderId="0" xfId="6" applyNumberFormat="1" applyFont="1" applyAlignment="1" applyProtection="1">
      <alignment horizontal="right"/>
    </xf>
    <xf numFmtId="5" fontId="2" fillId="0" borderId="0" xfId="6" applyNumberFormat="1" applyFont="1"/>
    <xf numFmtId="5" fontId="13" fillId="0" borderId="30" xfId="6" applyNumberFormat="1" applyFont="1" applyBorder="1" applyAlignment="1" applyProtection="1">
      <alignment horizontal="right"/>
    </xf>
    <xf numFmtId="5" fontId="13" fillId="0" borderId="0" xfId="6" applyNumberFormat="1" applyFont="1" applyBorder="1" applyProtection="1"/>
    <xf numFmtId="0" fontId="14" fillId="0" borderId="31" xfId="6" applyFont="1" applyBorder="1" applyProtection="1"/>
    <xf numFmtId="5" fontId="13" fillId="0" borderId="32" xfId="6" applyNumberFormat="1" applyFont="1" applyBorder="1" applyProtection="1"/>
    <xf numFmtId="0" fontId="13" fillId="0" borderId="33" xfId="6" applyFont="1" applyBorder="1" applyAlignment="1" applyProtection="1">
      <alignment horizontal="center"/>
    </xf>
    <xf numFmtId="0" fontId="14" fillId="0" borderId="20" xfId="6" applyFont="1" applyBorder="1" applyProtection="1"/>
    <xf numFmtId="5" fontId="14" fillId="0" borderId="30" xfId="6" applyNumberFormat="1" applyFont="1" applyBorder="1" applyProtection="1"/>
    <xf numFmtId="0" fontId="14" fillId="0" borderId="21" xfId="6" applyFont="1" applyBorder="1" applyAlignment="1" applyProtection="1">
      <alignment horizontal="center"/>
    </xf>
    <xf numFmtId="0" fontId="16" fillId="0" borderId="0" xfId="6" applyFont="1" applyProtection="1"/>
    <xf numFmtId="0" fontId="14" fillId="2" borderId="34" xfId="6" applyFont="1" applyFill="1" applyBorder="1" applyAlignment="1" applyProtection="1">
      <alignment horizontal="center"/>
    </xf>
    <xf numFmtId="0" fontId="14" fillId="0" borderId="35" xfId="6" applyFont="1" applyBorder="1" applyProtection="1"/>
    <xf numFmtId="0" fontId="13" fillId="0" borderId="35" xfId="6" applyFont="1" applyBorder="1" applyAlignment="1" applyProtection="1">
      <alignment horizontal="right"/>
    </xf>
    <xf numFmtId="0" fontId="13" fillId="0" borderId="35" xfId="6" applyFont="1" applyBorder="1" applyAlignment="1" applyProtection="1">
      <alignment horizontal="center"/>
    </xf>
    <xf numFmtId="0" fontId="13" fillId="0" borderId="25" xfId="6" applyFont="1" applyBorder="1" applyProtection="1"/>
    <xf numFmtId="169" fontId="13" fillId="0" borderId="25" xfId="2" quotePrefix="1" applyNumberFormat="1" applyFont="1" applyFill="1" applyBorder="1" applyAlignment="1" applyProtection="1">
      <alignment horizontal="right"/>
    </xf>
    <xf numFmtId="0" fontId="13" fillId="0" borderId="25" xfId="6" applyFont="1" applyBorder="1" applyAlignment="1" applyProtection="1">
      <alignment horizontal="center"/>
    </xf>
    <xf numFmtId="0" fontId="13" fillId="0" borderId="36" xfId="6" applyFont="1" applyBorder="1" applyAlignment="1" applyProtection="1">
      <alignment horizontal="center"/>
    </xf>
    <xf numFmtId="2" fontId="13" fillId="0" borderId="25" xfId="6" applyNumberFormat="1" applyFont="1" applyFill="1" applyBorder="1" applyAlignment="1" applyProtection="1">
      <alignment horizontal="right"/>
    </xf>
    <xf numFmtId="5" fontId="13" fillId="0" borderId="25" xfId="6" applyNumberFormat="1" applyFont="1" applyBorder="1" applyAlignment="1" applyProtection="1">
      <alignment horizontal="right"/>
    </xf>
    <xf numFmtId="0" fontId="14" fillId="0" borderId="37" xfId="6" applyFont="1" applyBorder="1" applyProtection="1"/>
    <xf numFmtId="0" fontId="13" fillId="0" borderId="37" xfId="6" applyFont="1" applyBorder="1" applyAlignment="1" applyProtection="1">
      <alignment horizontal="right"/>
    </xf>
    <xf numFmtId="0" fontId="13" fillId="0" borderId="37" xfId="6" applyFont="1" applyBorder="1" applyAlignment="1" applyProtection="1">
      <alignment horizontal="center"/>
    </xf>
    <xf numFmtId="0" fontId="13" fillId="0" borderId="36" xfId="6" applyFont="1" applyBorder="1" applyProtection="1"/>
    <xf numFmtId="0" fontId="13" fillId="0" borderId="36" xfId="6" applyFont="1" applyFill="1" applyBorder="1" applyAlignment="1" applyProtection="1">
      <alignment horizontal="right"/>
    </xf>
    <xf numFmtId="0" fontId="13" fillId="0" borderId="36" xfId="6" applyFont="1" applyFill="1" applyBorder="1" applyAlignment="1" applyProtection="1">
      <alignment horizontal="center"/>
    </xf>
    <xf numFmtId="7" fontId="13" fillId="0" borderId="36" xfId="6" applyNumberFormat="1" applyFont="1" applyBorder="1" applyAlignment="1" applyProtection="1">
      <alignment horizontal="right"/>
    </xf>
    <xf numFmtId="0" fontId="13" fillId="0" borderId="38" xfId="6" applyFont="1" applyBorder="1" applyProtection="1"/>
    <xf numFmtId="5" fontId="13" fillId="0" borderId="38" xfId="6" applyNumberFormat="1" applyFont="1" applyFill="1" applyBorder="1" applyAlignment="1" applyProtection="1">
      <alignment horizontal="right"/>
    </xf>
    <xf numFmtId="0" fontId="13" fillId="0" borderId="38" xfId="6" applyFont="1" applyBorder="1" applyAlignment="1" applyProtection="1">
      <alignment horizontal="center"/>
    </xf>
    <xf numFmtId="0" fontId="14" fillId="0" borderId="39" xfId="6" applyFont="1" applyBorder="1" applyProtection="1"/>
    <xf numFmtId="5" fontId="14" fillId="0" borderId="39" xfId="6" applyNumberFormat="1" applyFont="1" applyBorder="1" applyAlignment="1" applyProtection="1">
      <alignment horizontal="right"/>
    </xf>
    <xf numFmtId="0" fontId="13" fillId="0" borderId="39" xfId="6" applyFont="1" applyBorder="1" applyAlignment="1" applyProtection="1">
      <alignment horizontal="center"/>
    </xf>
    <xf numFmtId="5" fontId="13" fillId="0" borderId="38" xfId="6" applyNumberFormat="1" applyFont="1" applyBorder="1" applyAlignment="1" applyProtection="1">
      <alignment horizontal="right"/>
    </xf>
    <xf numFmtId="170" fontId="13" fillId="0" borderId="36" xfId="6" applyNumberFormat="1" applyFont="1" applyFill="1" applyBorder="1" applyAlignment="1" applyProtection="1">
      <alignment horizontal="right"/>
    </xf>
    <xf numFmtId="5" fontId="13" fillId="0" borderId="36" xfId="6" applyNumberFormat="1" applyFont="1" applyBorder="1" applyAlignment="1" applyProtection="1">
      <alignment horizontal="right"/>
    </xf>
    <xf numFmtId="0" fontId="13" fillId="0" borderId="36" xfId="6" applyFont="1" applyFill="1" applyBorder="1" applyProtection="1"/>
    <xf numFmtId="5" fontId="13" fillId="0" borderId="36" xfId="6" applyNumberFormat="1" applyFont="1" applyFill="1" applyBorder="1" applyAlignment="1" applyProtection="1">
      <alignment horizontal="right"/>
    </xf>
    <xf numFmtId="1" fontId="2" fillId="0" borderId="0" xfId="6" applyNumberFormat="1" applyFont="1"/>
    <xf numFmtId="1" fontId="13" fillId="0" borderId="36" xfId="6" applyNumberFormat="1" applyFont="1" applyFill="1" applyBorder="1" applyAlignment="1" applyProtection="1">
      <alignment horizontal="right"/>
    </xf>
    <xf numFmtId="167" fontId="13" fillId="0" borderId="36" xfId="6" applyNumberFormat="1" applyFont="1" applyFill="1" applyBorder="1" applyAlignment="1" applyProtection="1">
      <alignment horizontal="right"/>
    </xf>
    <xf numFmtId="1" fontId="15" fillId="0" borderId="0" xfId="6" applyNumberFormat="1" applyFont="1"/>
    <xf numFmtId="5" fontId="15" fillId="0" borderId="0" xfId="3" applyNumberFormat="1" applyFont="1"/>
    <xf numFmtId="5" fontId="2" fillId="0" borderId="0" xfId="3" applyNumberFormat="1" applyFont="1"/>
    <xf numFmtId="1" fontId="2" fillId="0" borderId="0" xfId="3" applyNumberFormat="1" applyFont="1"/>
    <xf numFmtId="0" fontId="13" fillId="0" borderId="40" xfId="6" applyFont="1" applyBorder="1" applyProtection="1"/>
    <xf numFmtId="5" fontId="13" fillId="0" borderId="40" xfId="6" applyNumberFormat="1" applyFont="1" applyFill="1" applyBorder="1" applyAlignment="1" applyProtection="1">
      <alignment horizontal="right"/>
    </xf>
    <xf numFmtId="0" fontId="13" fillId="0" borderId="40" xfId="6" applyFont="1" applyBorder="1" applyAlignment="1" applyProtection="1">
      <alignment horizontal="center"/>
    </xf>
    <xf numFmtId="0" fontId="14" fillId="0" borderId="4" xfId="6" applyFont="1" applyBorder="1" applyProtection="1"/>
    <xf numFmtId="5" fontId="14" fillId="0" borderId="5" xfId="6" applyNumberFormat="1" applyFont="1" applyFill="1" applyBorder="1" applyAlignment="1" applyProtection="1">
      <alignment horizontal="right"/>
    </xf>
    <xf numFmtId="0" fontId="13" fillId="0" borderId="0" xfId="6" applyFont="1" applyBorder="1" applyAlignment="1" applyProtection="1">
      <alignment horizontal="center"/>
    </xf>
    <xf numFmtId="167" fontId="14" fillId="0" borderId="5" xfId="6" applyNumberFormat="1" applyFont="1" applyFill="1" applyBorder="1" applyAlignment="1" applyProtection="1">
      <alignment horizontal="right"/>
    </xf>
    <xf numFmtId="166" fontId="14" fillId="0" borderId="5" xfId="3" applyNumberFormat="1" applyFont="1" applyFill="1" applyBorder="1" applyAlignment="1" applyProtection="1">
      <alignment horizontal="right"/>
    </xf>
    <xf numFmtId="0" fontId="14" fillId="0" borderId="6" xfId="6" applyFont="1" applyBorder="1" applyProtection="1"/>
    <xf numFmtId="5" fontId="14" fillId="0" borderId="8" xfId="6" applyNumberFormat="1" applyFont="1" applyFill="1" applyBorder="1" applyAlignment="1" applyProtection="1">
      <alignment horizontal="right"/>
    </xf>
    <xf numFmtId="2" fontId="2" fillId="0" borderId="0" xfId="1" applyNumberFormat="1" applyFont="1" applyAlignment="1">
      <alignment horizontal="center"/>
    </xf>
    <xf numFmtId="0" fontId="5" fillId="0" borderId="0" xfId="1" applyFont="1" applyAlignment="1">
      <alignment horizontal="center"/>
    </xf>
    <xf numFmtId="0" fontId="16" fillId="0" borderId="0" xfId="1" applyFont="1"/>
    <xf numFmtId="0" fontId="2" fillId="0" borderId="0" xfId="1" applyFont="1" applyAlignment="1">
      <alignment horizontal="left"/>
    </xf>
    <xf numFmtId="0" fontId="17" fillId="0" borderId="0" xfId="1" applyFont="1" applyAlignment="1">
      <alignment horizontal="center"/>
    </xf>
    <xf numFmtId="0" fontId="16" fillId="0" borderId="0" xfId="0" applyFont="1" applyFill="1" applyBorder="1" applyAlignment="1">
      <alignment horizontal="left" wrapText="1"/>
    </xf>
    <xf numFmtId="0" fontId="18" fillId="0" borderId="0" xfId="1" applyFont="1" applyAlignment="1">
      <alignment horizontal="center"/>
    </xf>
    <xf numFmtId="0" fontId="19" fillId="0" borderId="0" xfId="1" applyFont="1"/>
    <xf numFmtId="167" fontId="2" fillId="0" borderId="0" xfId="1" applyNumberFormat="1" applyFont="1" applyFill="1" applyAlignment="1">
      <alignment horizontal="left"/>
    </xf>
    <xf numFmtId="164" fontId="2" fillId="0" borderId="0" xfId="1" applyNumberFormat="1" applyFont="1" applyFill="1" applyAlignment="1">
      <alignment horizontal="left"/>
    </xf>
    <xf numFmtId="0" fontId="2" fillId="0" borderId="0" xfId="1" quotePrefix="1" applyFont="1" applyAlignment="1">
      <alignment horizontal="left"/>
    </xf>
    <xf numFmtId="10" fontId="2" fillId="0" borderId="0" xfId="1" applyNumberFormat="1" applyFont="1" applyAlignment="1">
      <alignment horizontal="left"/>
    </xf>
    <xf numFmtId="0" fontId="19" fillId="0" borderId="0" xfId="1" applyFont="1" applyAlignment="1">
      <alignment horizontal="left"/>
    </xf>
    <xf numFmtId="0" fontId="2" fillId="0" borderId="0" xfId="1" applyFont="1" applyAlignment="1">
      <alignment horizontal="center"/>
    </xf>
    <xf numFmtId="2" fontId="2" fillId="0" borderId="0" xfId="1" applyNumberFormat="1" applyFont="1" applyBorder="1" applyAlignment="1">
      <alignment horizontal="center"/>
    </xf>
    <xf numFmtId="0" fontId="2" fillId="0" borderId="1" xfId="1" applyFont="1" applyBorder="1"/>
    <xf numFmtId="0" fontId="2" fillId="0" borderId="2" xfId="1" applyFont="1" applyBorder="1"/>
    <xf numFmtId="0" fontId="16" fillId="0" borderId="2" xfId="1" applyFont="1" applyBorder="1" applyAlignment="1">
      <alignment horizontal="center"/>
    </xf>
    <xf numFmtId="0" fontId="16" fillId="0" borderId="3" xfId="1" applyFont="1" applyBorder="1" applyAlignment="1">
      <alignment horizontal="center"/>
    </xf>
    <xf numFmtId="2" fontId="16" fillId="0" borderId="2" xfId="1" applyNumberFormat="1" applyFont="1" applyBorder="1" applyAlignment="1">
      <alignment horizontal="center"/>
    </xf>
    <xf numFmtId="0" fontId="2" fillId="0" borderId="4" xfId="1" applyFont="1" applyBorder="1"/>
    <xf numFmtId="0" fontId="2" fillId="0" borderId="0" xfId="1" applyFont="1" applyBorder="1"/>
    <xf numFmtId="0" fontId="16" fillId="0" borderId="0" xfId="1" applyFont="1" applyBorder="1"/>
    <xf numFmtId="0" fontId="16" fillId="0" borderId="5" xfId="1" applyFont="1" applyBorder="1" applyAlignment="1">
      <alignment horizontal="center"/>
    </xf>
    <xf numFmtId="0" fontId="16" fillId="0" borderId="0" xfId="1" applyFont="1" applyBorder="1" applyAlignment="1">
      <alignment horizontal="center"/>
    </xf>
    <xf numFmtId="2" fontId="16" fillId="0" borderId="0" xfId="1" applyNumberFormat="1" applyFont="1" applyBorder="1" applyAlignment="1">
      <alignment horizontal="center"/>
    </xf>
    <xf numFmtId="0" fontId="2" fillId="0" borderId="5" xfId="1" applyFont="1" applyBorder="1"/>
    <xf numFmtId="0" fontId="20" fillId="0" borderId="4" xfId="1" applyFont="1" applyBorder="1"/>
    <xf numFmtId="0" fontId="20" fillId="0" borderId="0" xfId="1" applyFont="1" applyBorder="1"/>
    <xf numFmtId="2" fontId="2" fillId="0" borderId="0" xfId="1" applyNumberFormat="1" applyFont="1" applyFill="1" applyBorder="1" applyAlignment="1">
      <alignment horizontal="center"/>
    </xf>
    <xf numFmtId="2" fontId="2" fillId="0" borderId="7" xfId="1" applyNumberFormat="1" applyFont="1" applyBorder="1" applyAlignment="1">
      <alignment horizontal="center"/>
    </xf>
    <xf numFmtId="0" fontId="19" fillId="0" borderId="0" xfId="1" applyFont="1" applyBorder="1"/>
    <xf numFmtId="0" fontId="16" fillId="0" borderId="5" xfId="1" applyFont="1" applyBorder="1"/>
    <xf numFmtId="0" fontId="2" fillId="0" borderId="0" xfId="1" quotePrefix="1" applyFont="1"/>
    <xf numFmtId="0" fontId="2" fillId="0" borderId="0" xfId="1" applyFont="1" applyBorder="1" applyAlignment="1">
      <alignment wrapText="1"/>
    </xf>
    <xf numFmtId="0" fontId="11" fillId="0" borderId="9" xfId="1" applyFont="1" applyBorder="1"/>
    <xf numFmtId="0" fontId="11" fillId="0" borderId="10" xfId="1" applyFont="1" applyBorder="1"/>
    <xf numFmtId="0" fontId="2" fillId="0" borderId="10" xfId="1" applyFont="1" applyBorder="1"/>
    <xf numFmtId="0" fontId="2" fillId="0" borderId="11" xfId="1" applyFont="1" applyBorder="1"/>
    <xf numFmtId="2" fontId="16" fillId="0" borderId="10" xfId="1" applyNumberFormat="1" applyFont="1" applyBorder="1" applyAlignment="1">
      <alignment horizontal="center"/>
    </xf>
    <xf numFmtId="0" fontId="2" fillId="0" borderId="3" xfId="1" applyFont="1" applyBorder="1"/>
    <xf numFmtId="0" fontId="16" fillId="0" borderId="4" xfId="1" applyFont="1" applyBorder="1"/>
    <xf numFmtId="0" fontId="2" fillId="0" borderId="5" xfId="1" applyFont="1" applyBorder="1" applyAlignment="1">
      <alignment horizontal="center"/>
    </xf>
    <xf numFmtId="0" fontId="21" fillId="0" borderId="4" xfId="1" applyFont="1" applyFill="1" applyBorder="1"/>
    <xf numFmtId="0" fontId="21" fillId="0" borderId="0" xfId="1" applyFont="1" applyFill="1" applyBorder="1"/>
    <xf numFmtId="0" fontId="2" fillId="0" borderId="0" xfId="1" applyFont="1" applyFill="1" applyBorder="1"/>
    <xf numFmtId="0" fontId="2" fillId="0" borderId="4" xfId="1" applyFont="1" applyFill="1" applyBorder="1"/>
    <xf numFmtId="0" fontId="21" fillId="0" borderId="5" xfId="1" applyFont="1" applyFill="1" applyBorder="1" applyAlignment="1">
      <alignment horizontal="center"/>
    </xf>
    <xf numFmtId="0" fontId="21" fillId="0" borderId="0" xfId="1" applyFont="1" applyFill="1"/>
    <xf numFmtId="2" fontId="2" fillId="0" borderId="7" xfId="1" applyNumberFormat="1" applyFont="1" applyFill="1" applyBorder="1" applyAlignment="1">
      <alignment horizontal="center"/>
    </xf>
    <xf numFmtId="0" fontId="2" fillId="0" borderId="5" xfId="1" applyFont="1" applyFill="1" applyBorder="1" applyAlignment="1">
      <alignment horizontal="center"/>
    </xf>
    <xf numFmtId="0" fontId="2" fillId="0" borderId="0" xfId="1" applyFont="1" applyFill="1"/>
    <xf numFmtId="0" fontId="2" fillId="0" borderId="5" xfId="1" applyFont="1" applyFill="1" applyBorder="1"/>
    <xf numFmtId="0" fontId="2" fillId="0" borderId="0" xfId="1" applyFont="1" applyFill="1" applyAlignment="1">
      <alignment horizontal="center"/>
    </xf>
    <xf numFmtId="0" fontId="19" fillId="0" borderId="0" xfId="1" applyFont="1" applyFill="1" applyBorder="1"/>
    <xf numFmtId="0" fontId="16" fillId="0" borderId="0" xfId="1" applyFont="1" applyFill="1" applyBorder="1"/>
    <xf numFmtId="3" fontId="16" fillId="0" borderId="0" xfId="1" applyNumberFormat="1" applyFont="1" applyFill="1" applyBorder="1"/>
    <xf numFmtId="0" fontId="16" fillId="0" borderId="4" xfId="1" applyFont="1" applyFill="1" applyBorder="1"/>
    <xf numFmtId="2" fontId="16" fillId="0" borderId="0" xfId="1" applyNumberFormat="1" applyFont="1" applyFill="1" applyBorder="1" applyAlignment="1">
      <alignment horizontal="center"/>
    </xf>
    <xf numFmtId="0" fontId="20" fillId="0" borderId="0" xfId="1" applyFont="1" applyFill="1" applyBorder="1"/>
    <xf numFmtId="3" fontId="16" fillId="0" borderId="0" xfId="1" applyNumberFormat="1" applyFont="1" applyBorder="1"/>
    <xf numFmtId="3" fontId="2" fillId="0" borderId="10" xfId="1" applyNumberFormat="1" applyFont="1" applyBorder="1"/>
    <xf numFmtId="0" fontId="2" fillId="0" borderId="9" xfId="1" applyFont="1" applyBorder="1"/>
    <xf numFmtId="0" fontId="2" fillId="0" borderId="11" xfId="1" applyFont="1" applyBorder="1" applyAlignment="1">
      <alignment horizontal="center"/>
    </xf>
    <xf numFmtId="0" fontId="22" fillId="0" borderId="0" xfId="1" applyFont="1"/>
    <xf numFmtId="2" fontId="2" fillId="0" borderId="2" xfId="1" applyNumberFormat="1" applyFont="1" applyBorder="1" applyAlignment="1">
      <alignment horizontal="center"/>
    </xf>
    <xf numFmtId="0" fontId="2" fillId="0" borderId="2" xfId="1" applyFont="1" applyBorder="1" applyAlignment="1">
      <alignment horizontal="center"/>
    </xf>
    <xf numFmtId="0" fontId="2" fillId="0" borderId="6" xfId="1" applyFont="1" applyBorder="1"/>
    <xf numFmtId="0" fontId="2" fillId="0" borderId="7" xfId="1" applyFont="1" applyBorder="1"/>
    <xf numFmtId="0" fontId="16" fillId="0" borderId="7" xfId="1" applyFont="1" applyBorder="1" applyAlignment="1">
      <alignment horizontal="center"/>
    </xf>
    <xf numFmtId="0" fontId="16" fillId="0" borderId="8" xfId="1" applyFont="1" applyBorder="1" applyAlignment="1">
      <alignment horizontal="center"/>
    </xf>
    <xf numFmtId="2" fontId="16" fillId="0" borderId="7" xfId="1" applyNumberFormat="1" applyFont="1" applyBorder="1" applyAlignment="1">
      <alignment horizontal="center"/>
    </xf>
    <xf numFmtId="0" fontId="2" fillId="0" borderId="8" xfId="1" applyFont="1" applyBorder="1"/>
    <xf numFmtId="0" fontId="2" fillId="0" borderId="3" xfId="1" applyFont="1" applyBorder="1" applyAlignment="1">
      <alignment horizontal="center"/>
    </xf>
    <xf numFmtId="0" fontId="19" fillId="0" borderId="4" xfId="1" applyFont="1" applyBorder="1"/>
    <xf numFmtId="0" fontId="2" fillId="0" borderId="0" xfId="1" applyFont="1" applyBorder="1" applyAlignment="1">
      <alignment horizontal="right"/>
    </xf>
    <xf numFmtId="165" fontId="2" fillId="0" borderId="0" xfId="1" applyNumberFormat="1" applyFont="1" applyBorder="1" applyAlignment="1">
      <alignment horizontal="center"/>
    </xf>
    <xf numFmtId="0" fontId="20" fillId="0" borderId="12" xfId="1" applyFont="1" applyBorder="1"/>
    <xf numFmtId="0" fontId="2" fillId="0" borderId="13" xfId="1" applyFont="1" applyBorder="1"/>
    <xf numFmtId="0" fontId="2" fillId="0" borderId="14" xfId="1" applyFont="1" applyBorder="1"/>
    <xf numFmtId="2" fontId="2" fillId="0" borderId="13" xfId="1" applyNumberFormat="1" applyFont="1" applyBorder="1" applyAlignment="1">
      <alignment horizontal="center"/>
    </xf>
    <xf numFmtId="0" fontId="2" fillId="0" borderId="14" xfId="1" applyFont="1" applyBorder="1" applyAlignment="1">
      <alignment horizontal="center"/>
    </xf>
    <xf numFmtId="0" fontId="19" fillId="0" borderId="4" xfId="1" applyFont="1" applyFill="1" applyBorder="1"/>
    <xf numFmtId="0" fontId="21" fillId="0" borderId="5" xfId="1" applyFont="1" applyFill="1" applyBorder="1"/>
    <xf numFmtId="0" fontId="19" fillId="0" borderId="12" xfId="1" applyFont="1" applyBorder="1"/>
    <xf numFmtId="2" fontId="16" fillId="0" borderId="13" xfId="1" applyNumberFormat="1" applyFont="1" applyBorder="1" applyAlignment="1">
      <alignment horizontal="center"/>
    </xf>
    <xf numFmtId="0" fontId="19" fillId="0" borderId="16" xfId="1" applyFont="1" applyBorder="1"/>
    <xf numFmtId="0" fontId="2" fillId="0" borderId="15" xfId="1" applyFont="1" applyBorder="1"/>
    <xf numFmtId="0" fontId="16" fillId="0" borderId="15" xfId="1" applyFont="1" applyBorder="1"/>
    <xf numFmtId="0" fontId="16" fillId="0" borderId="17" xfId="1" applyFont="1" applyBorder="1"/>
    <xf numFmtId="166" fontId="16" fillId="0" borderId="15" xfId="1" applyNumberFormat="1" applyFont="1" applyBorder="1" applyAlignment="1">
      <alignment horizontal="center"/>
    </xf>
    <xf numFmtId="0" fontId="2" fillId="0" borderId="0" xfId="1" quotePrefix="1" applyFont="1" applyFill="1" applyAlignment="1">
      <alignment horizontal="left"/>
    </xf>
    <xf numFmtId="2" fontId="2" fillId="0" borderId="0" xfId="1" applyNumberFormat="1" applyFont="1" applyFill="1" applyAlignment="1">
      <alignment horizontal="left"/>
    </xf>
    <xf numFmtId="0" fontId="19" fillId="0" borderId="15" xfId="1" applyFont="1" applyBorder="1"/>
    <xf numFmtId="0" fontId="19" fillId="0" borderId="15" xfId="1" applyFont="1" applyBorder="1" applyAlignment="1">
      <alignment horizontal="left"/>
    </xf>
    <xf numFmtId="0" fontId="2" fillId="0" borderId="15" xfId="1" applyFont="1" applyBorder="1" applyAlignment="1">
      <alignment horizontal="center"/>
    </xf>
    <xf numFmtId="2" fontId="2" fillId="0" borderId="15" xfId="1" applyNumberFormat="1" applyFont="1" applyBorder="1" applyAlignment="1">
      <alignment horizontal="center"/>
    </xf>
    <xf numFmtId="0" fontId="16" fillId="0" borderId="0" xfId="1" applyFont="1" applyAlignment="1">
      <alignment horizontal="center"/>
    </xf>
    <xf numFmtId="0" fontId="20" fillId="0" borderId="16" xfId="1" applyFont="1" applyBorder="1"/>
    <xf numFmtId="0" fontId="2" fillId="0" borderId="17" xfId="1" applyFont="1" applyBorder="1"/>
    <xf numFmtId="0" fontId="2" fillId="0" borderId="17" xfId="1" applyFont="1" applyBorder="1" applyAlignment="1">
      <alignment horizontal="center"/>
    </xf>
  </cellXfs>
  <cellStyles count="7">
    <cellStyle name="Comma" xfId="2" builtinId="3"/>
    <cellStyle name="Currency" xfId="3" builtinId="4"/>
    <cellStyle name="Normal" xfId="0" builtinId="0"/>
    <cellStyle name="Normal_Att 10-C -D -E -F_Coal Boiler costings" xfId="5"/>
    <cellStyle name="Normal_BACT Two Elk Auxiliary Boiler (010907)" xfId="6"/>
    <cellStyle name="Normal_cost-effectiveness" xfId="1"/>
    <cellStyle name="Percent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cts/0497868%20Nutrien%20Kenai%20Air%20Permit%20Rev.DG/Application%20Documents/Cost%20Estimating%20Sheets%203.20.18%20jr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U1 CO Cat for VOC &amp; CO"/>
      <sheetName val="EU2 RTO for VOC (Max)"/>
      <sheetName val="EU2 RTO for VOC (normal)"/>
      <sheetName val="EU2 CatOx for VOC (Max)"/>
      <sheetName val="EU2 CatOx for VOC (normal)"/>
      <sheetName val="EU2 Adsorber VOC (Max)"/>
      <sheetName val="EU2 Refridgerated Condenser"/>
      <sheetName val="EU5 RTO for VOC"/>
      <sheetName val="EU5 CatOx for VOC"/>
      <sheetName val="EU5 CO Cat for VOC &amp; CO"/>
      <sheetName val="EU5 SCR for NOX"/>
      <sheetName val="EU5 SNCR for NOX"/>
      <sheetName val="EU16 RTO for VOC&amp;CO"/>
      <sheetName val="EU16 CatOx for VOC&amp;CO"/>
      <sheetName val="EU7 ESP for PM"/>
      <sheetName val="EU7 RTO for VOC "/>
      <sheetName val="EU16 RTO for VOC"/>
      <sheetName val="EU16 CO Cat for VOC &amp; CO"/>
      <sheetName val="EU21 RTO for VOC"/>
      <sheetName val="EU21 SNCR for NOX"/>
      <sheetName val="EU21 SCR for NOX"/>
      <sheetName val="EU21 CatOx For VOC"/>
      <sheetName val="EU21 CO Cat for VOC &amp; CO"/>
      <sheetName val="EU1 CCS Costs"/>
      <sheetName val="EU1 CCS Costs (CO2 Vent)"/>
      <sheetName val="ESP"/>
      <sheetName val="eq. 2.36"/>
      <sheetName val="EU1 RTO for VOC"/>
      <sheetName val="EU1 CatOx for VOC"/>
      <sheetName val="Adsorber&amp;Utilities Cost"/>
      <sheetName val="EU7 CatOx for VOC "/>
      <sheetName val="EU16 CatOx for VOC "/>
      <sheetName val="EU21 RTO for VOC&amp;CO"/>
      <sheetName val="EU21 CatOx for VOC&amp;CO"/>
      <sheetName val="Aux Boiler SCR "/>
      <sheetName val="Wet ESP (PM)"/>
      <sheetName val="Wet FGD"/>
      <sheetName val="Wet ESP H2SO4"/>
      <sheetName val="Tail-End SCR"/>
      <sheetName val="BSG SCR"/>
      <sheetName val="Sheet2"/>
      <sheetName val="ENR CCI"/>
      <sheetName val="EU15 Dry Cooling for PM"/>
      <sheetName val="NG Calcs EU1"/>
      <sheetName val="NG Calcs EU2"/>
      <sheetName val="NG Calcs EU5"/>
      <sheetName val="NG Calcs EU7"/>
      <sheetName val="NG Calcs EU16"/>
      <sheetName val="NG Calcs EU2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>
        <row r="5">
          <cell r="B5">
            <v>9412</v>
          </cell>
        </row>
        <row r="7">
          <cell r="B7">
            <v>8802</v>
          </cell>
        </row>
      </sheetData>
      <sheetData sheetId="42" refreshError="1"/>
      <sheetData sheetId="43" refreshError="1"/>
      <sheetData sheetId="44"/>
      <sheetData sheetId="45" refreshError="1"/>
      <sheetData sheetId="46" refreshError="1"/>
      <sheetData sheetId="47" refreshError="1"/>
      <sheetData sheetId="4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H97"/>
  <sheetViews>
    <sheetView view="pageBreakPreview" zoomScale="60" zoomScaleNormal="100" zoomScalePageLayoutView="85" workbookViewId="0"/>
  </sheetViews>
  <sheetFormatPr defaultColWidth="9.109375" defaultRowHeight="15"/>
  <cols>
    <col min="1" max="1" width="40.6640625" style="1" customWidth="1"/>
    <col min="2" max="2" width="31.88671875" style="1" customWidth="1"/>
    <col min="3" max="3" width="33.88671875" style="1" customWidth="1"/>
    <col min="4" max="4" width="17.109375" style="1" customWidth="1"/>
    <col min="5" max="16384" width="9.109375" style="1"/>
  </cols>
  <sheetData>
    <row r="1" spans="1:7">
      <c r="B1" s="2"/>
      <c r="C1" s="3" t="s">
        <v>190</v>
      </c>
      <c r="D1" s="2"/>
    </row>
    <row r="2" spans="1:7">
      <c r="B2" s="4"/>
      <c r="C2" s="5" t="s">
        <v>188</v>
      </c>
      <c r="D2" s="4"/>
    </row>
    <row r="3" spans="1:7" ht="16.5" customHeight="1">
      <c r="B3" s="6"/>
      <c r="C3" s="7" t="s">
        <v>64</v>
      </c>
      <c r="D3" s="6"/>
      <c r="E3" s="8"/>
      <c r="F3" s="8"/>
      <c r="G3" s="8"/>
    </row>
    <row r="4" spans="1:7" ht="16.5" customHeight="1">
      <c r="B4" s="6"/>
      <c r="C4" s="7" t="s">
        <v>189</v>
      </c>
      <c r="D4" s="6"/>
      <c r="E4" s="8"/>
      <c r="F4" s="8"/>
      <c r="G4" s="8"/>
    </row>
    <row r="5" spans="1:7">
      <c r="A5" s="7"/>
      <c r="B5" s="7"/>
      <c r="C5" s="7"/>
      <c r="D5" s="6"/>
      <c r="E5" s="8"/>
      <c r="F5" s="8"/>
      <c r="G5" s="8"/>
    </row>
    <row r="6" spans="1:7">
      <c r="A6" s="9" t="s">
        <v>66</v>
      </c>
      <c r="B6" s="10">
        <v>80</v>
      </c>
      <c r="C6" s="11"/>
      <c r="D6" s="11"/>
    </row>
    <row r="7" spans="1:7">
      <c r="A7" s="12" t="s">
        <v>67</v>
      </c>
      <c r="B7" s="13">
        <v>99</v>
      </c>
      <c r="C7" s="11"/>
      <c r="D7" s="11"/>
    </row>
    <row r="8" spans="1:7" ht="16.5" customHeight="1">
      <c r="A8" s="14"/>
      <c r="B8" s="14"/>
      <c r="C8" s="11"/>
      <c r="D8" s="11"/>
    </row>
    <row r="9" spans="1:7" ht="12.75" customHeight="1">
      <c r="A9" s="15" t="s">
        <v>68</v>
      </c>
      <c r="B9" s="14"/>
      <c r="C9" s="11"/>
      <c r="D9" s="11"/>
    </row>
    <row r="10" spans="1:7" ht="15.6" thickBot="1">
      <c r="A10" s="16" t="s">
        <v>69</v>
      </c>
      <c r="B10" s="17" t="s">
        <v>70</v>
      </c>
      <c r="C10" s="11"/>
      <c r="D10" s="11"/>
    </row>
    <row r="11" spans="1:7" ht="15.6" thickTop="1">
      <c r="A11" s="18" t="s">
        <v>71</v>
      </c>
      <c r="B11" s="19">
        <v>8760</v>
      </c>
      <c r="C11" s="11"/>
      <c r="D11" s="11"/>
    </row>
    <row r="12" spans="1:7">
      <c r="A12" s="20" t="s">
        <v>72</v>
      </c>
      <c r="B12" s="19">
        <v>10</v>
      </c>
      <c r="C12" s="11"/>
      <c r="D12" s="11"/>
    </row>
    <row r="13" spans="1:7">
      <c r="A13" s="20" t="s">
        <v>73</v>
      </c>
      <c r="B13" s="21">
        <v>7</v>
      </c>
      <c r="C13" s="11"/>
      <c r="D13" s="11"/>
    </row>
    <row r="14" spans="1:7">
      <c r="A14" s="20" t="s">
        <v>74</v>
      </c>
      <c r="B14" s="22">
        <f>((B13/100)*(1+(B13/100))^B12)/((1+(B13/100))^B12-1)</f>
        <v>0.14237750272736471</v>
      </c>
      <c r="C14" s="11"/>
      <c r="D14" s="11"/>
    </row>
    <row r="15" spans="1:7">
      <c r="A15" s="20" t="s">
        <v>75</v>
      </c>
      <c r="B15" s="22"/>
      <c r="C15" s="11"/>
      <c r="D15" s="11"/>
    </row>
    <row r="16" spans="1:7">
      <c r="A16" s="23" t="s">
        <v>76</v>
      </c>
      <c r="B16" s="24" t="s">
        <v>189</v>
      </c>
      <c r="C16" s="11"/>
      <c r="D16" s="11"/>
    </row>
    <row r="17" spans="1:5">
      <c r="A17" s="23" t="s">
        <v>1</v>
      </c>
      <c r="B17" s="25">
        <v>243</v>
      </c>
      <c r="C17" s="11"/>
      <c r="D17" s="11"/>
    </row>
    <row r="18" spans="1:5">
      <c r="A18" s="23" t="s">
        <v>78</v>
      </c>
      <c r="B18" s="26">
        <v>161157</v>
      </c>
      <c r="C18" s="11"/>
      <c r="D18" s="11"/>
    </row>
    <row r="19" spans="1:5">
      <c r="A19" s="23" t="s">
        <v>80</v>
      </c>
      <c r="B19" s="27">
        <v>1.3</v>
      </c>
      <c r="C19" s="11"/>
      <c r="D19" s="11"/>
    </row>
    <row r="20" spans="1:5">
      <c r="A20" s="23" t="s">
        <v>81</v>
      </c>
      <c r="B20" s="28">
        <f>B19*8760/2000</f>
        <v>5.694</v>
      </c>
      <c r="C20" s="11"/>
      <c r="D20" s="11"/>
    </row>
    <row r="21" spans="1:5">
      <c r="A21" s="23" t="s">
        <v>82</v>
      </c>
      <c r="B21" s="27">
        <v>8.99</v>
      </c>
      <c r="C21" s="11"/>
      <c r="D21" s="11"/>
    </row>
    <row r="22" spans="1:5">
      <c r="A22" s="23" t="s">
        <v>83</v>
      </c>
      <c r="B22" s="27">
        <f>B21*8760/2000</f>
        <v>39.376200000000004</v>
      </c>
      <c r="C22" s="11"/>
      <c r="D22" s="11"/>
    </row>
    <row r="23" spans="1:5">
      <c r="A23" s="23" t="s">
        <v>84</v>
      </c>
      <c r="B23" s="29">
        <f>0.093*1.0851</f>
        <v>0.1009143</v>
      </c>
      <c r="C23" s="30" t="s">
        <v>60</v>
      </c>
      <c r="D23" s="11"/>
    </row>
    <row r="24" spans="1:5">
      <c r="A24" s="23" t="s">
        <v>85</v>
      </c>
      <c r="B24" s="31">
        <f>45*1.0851</f>
        <v>48.829499999999996</v>
      </c>
      <c r="C24" s="30" t="s">
        <v>60</v>
      </c>
      <c r="D24" s="11"/>
    </row>
    <row r="25" spans="1:5">
      <c r="A25" s="32" t="s">
        <v>86</v>
      </c>
      <c r="B25" s="33">
        <f>45*1.0851</f>
        <v>48.829499999999996</v>
      </c>
      <c r="C25" s="30" t="s">
        <v>60</v>
      </c>
      <c r="D25" s="11"/>
    </row>
    <row r="26" spans="1:5" ht="6.75" customHeight="1">
      <c r="A26" s="14"/>
      <c r="B26" s="14"/>
      <c r="C26" s="11"/>
      <c r="D26" s="11"/>
    </row>
    <row r="27" spans="1:5" ht="18" customHeight="1">
      <c r="A27" s="15" t="s">
        <v>87</v>
      </c>
      <c r="B27" s="14"/>
      <c r="C27" s="11"/>
      <c r="D27" s="11"/>
    </row>
    <row r="28" spans="1:5" ht="15.6" thickBot="1">
      <c r="A28" s="16"/>
      <c r="B28" s="34" t="s">
        <v>70</v>
      </c>
      <c r="C28" s="35" t="s">
        <v>88</v>
      </c>
      <c r="D28" s="11"/>
    </row>
    <row r="29" spans="1:5" ht="15.6" thickTop="1">
      <c r="A29" s="36" t="s">
        <v>89</v>
      </c>
      <c r="B29" s="37"/>
      <c r="C29" s="38"/>
      <c r="D29" s="11"/>
    </row>
    <row r="30" spans="1:5">
      <c r="A30" s="23" t="s">
        <v>90</v>
      </c>
      <c r="B30" s="39"/>
      <c r="C30" s="38"/>
      <c r="D30" s="11"/>
    </row>
    <row r="31" spans="1:5" s="43" customFormat="1">
      <c r="A31" s="23" t="s">
        <v>91</v>
      </c>
      <c r="B31" s="40">
        <f>155904.294478528*1.0851</f>
        <v>169171.74993865073</v>
      </c>
      <c r="C31" s="41" t="s">
        <v>92</v>
      </c>
      <c r="D31" s="30" t="s">
        <v>60</v>
      </c>
      <c r="E31" s="42"/>
    </row>
    <row r="32" spans="1:5">
      <c r="A32" s="23" t="s">
        <v>93</v>
      </c>
      <c r="B32" s="44">
        <f>ROUND(0.1*$B$31,-2)</f>
        <v>16900</v>
      </c>
      <c r="C32" s="38" t="s">
        <v>94</v>
      </c>
      <c r="D32" s="11"/>
    </row>
    <row r="33" spans="1:6">
      <c r="A33" s="23" t="s">
        <v>95</v>
      </c>
      <c r="B33" s="44">
        <f>ROUND(0.07*$B$31,-2)</f>
        <v>11800</v>
      </c>
      <c r="C33" s="38" t="s">
        <v>96</v>
      </c>
      <c r="D33" s="11"/>
    </row>
    <row r="34" spans="1:6">
      <c r="A34" s="23" t="s">
        <v>97</v>
      </c>
      <c r="B34" s="45">
        <f>ROUND(0.05*$B$31,-2)</f>
        <v>8500</v>
      </c>
      <c r="C34" s="46" t="s">
        <v>98</v>
      </c>
      <c r="D34" s="11"/>
    </row>
    <row r="35" spans="1:6">
      <c r="A35" s="23" t="s">
        <v>99</v>
      </c>
      <c r="B35" s="44">
        <f>SUM(B31:B34)</f>
        <v>206371.74993865073</v>
      </c>
      <c r="C35" s="38" t="s">
        <v>100</v>
      </c>
      <c r="D35" s="11"/>
    </row>
    <row r="36" spans="1:6">
      <c r="A36" s="23" t="s">
        <v>101</v>
      </c>
      <c r="B36" s="37"/>
      <c r="C36" s="38"/>
      <c r="D36" s="11"/>
    </row>
    <row r="37" spans="1:6">
      <c r="A37" s="23" t="s">
        <v>102</v>
      </c>
      <c r="B37" s="44">
        <f>ROUND(0.08*$B$35,-2)</f>
        <v>16500</v>
      </c>
      <c r="C37" s="38" t="s">
        <v>103</v>
      </c>
      <c r="D37" s="11"/>
    </row>
    <row r="38" spans="1:6">
      <c r="A38" s="23" t="s">
        <v>104</v>
      </c>
      <c r="B38" s="44">
        <f>ROUND(0.14*$B$35,-2)</f>
        <v>28900</v>
      </c>
      <c r="C38" s="38" t="s">
        <v>105</v>
      </c>
      <c r="D38" s="11"/>
    </row>
    <row r="39" spans="1:6">
      <c r="A39" s="23" t="s">
        <v>106</v>
      </c>
      <c r="B39" s="44">
        <f>ROUND(0.04*$B$35,-2)</f>
        <v>8300</v>
      </c>
      <c r="C39" s="38" t="s">
        <v>107</v>
      </c>
      <c r="D39" s="11"/>
    </row>
    <row r="40" spans="1:6">
      <c r="A40" s="23" t="s">
        <v>108</v>
      </c>
      <c r="B40" s="44">
        <f>ROUND(0.02*$B$35,-2)</f>
        <v>4100</v>
      </c>
      <c r="C40" s="38" t="s">
        <v>109</v>
      </c>
      <c r="D40" s="11"/>
    </row>
    <row r="41" spans="1:6">
      <c r="A41" s="23" t="s">
        <v>110</v>
      </c>
      <c r="B41" s="44">
        <f>ROUND(0.01*$B$35,-2)</f>
        <v>2100</v>
      </c>
      <c r="C41" s="38" t="s">
        <v>111</v>
      </c>
      <c r="D41" s="11"/>
    </row>
    <row r="42" spans="1:6">
      <c r="A42" s="23" t="s">
        <v>112</v>
      </c>
      <c r="B42" s="45">
        <f>ROUND(0.01*$B$35,-2)</f>
        <v>2100</v>
      </c>
      <c r="C42" s="46" t="s">
        <v>111</v>
      </c>
      <c r="D42" s="11"/>
    </row>
    <row r="43" spans="1:6">
      <c r="A43" s="23" t="s">
        <v>113</v>
      </c>
      <c r="B43" s="44">
        <f>SUM(B37:B42)</f>
        <v>62000</v>
      </c>
      <c r="C43" s="38" t="s">
        <v>114</v>
      </c>
      <c r="D43" s="11"/>
    </row>
    <row r="44" spans="1:6">
      <c r="A44" s="23" t="s">
        <v>115</v>
      </c>
      <c r="B44" s="47" t="s">
        <v>116</v>
      </c>
      <c r="C44" s="38" t="s">
        <v>117</v>
      </c>
      <c r="D44" s="11"/>
      <c r="F44" s="48"/>
    </row>
    <row r="45" spans="1:6">
      <c r="A45" s="23" t="s">
        <v>118</v>
      </c>
      <c r="B45" s="49" t="s">
        <v>116</v>
      </c>
      <c r="C45" s="46" t="s">
        <v>119</v>
      </c>
      <c r="D45" s="11"/>
    </row>
    <row r="46" spans="1:6">
      <c r="A46" s="36" t="s">
        <v>120</v>
      </c>
      <c r="B46" s="44">
        <f>ROUND(B35+B43,-2)</f>
        <v>268400</v>
      </c>
      <c r="C46" s="38" t="s">
        <v>121</v>
      </c>
      <c r="D46" s="11"/>
    </row>
    <row r="47" spans="1:6">
      <c r="A47" s="36" t="s">
        <v>122</v>
      </c>
      <c r="B47" s="44"/>
      <c r="C47" s="38"/>
      <c r="D47" s="11"/>
    </row>
    <row r="48" spans="1:6">
      <c r="A48" s="23" t="s">
        <v>123</v>
      </c>
      <c r="B48" s="44">
        <f>ROUND(0.1*$B$35,-2)</f>
        <v>20600</v>
      </c>
      <c r="C48" s="38" t="s">
        <v>124</v>
      </c>
      <c r="D48" s="11"/>
    </row>
    <row r="49" spans="1:4">
      <c r="A49" s="23" t="s">
        <v>125</v>
      </c>
      <c r="B49" s="44">
        <f>ROUND(0.05*$B$35,-2)</f>
        <v>10300</v>
      </c>
      <c r="C49" s="38" t="s">
        <v>126</v>
      </c>
      <c r="D49" s="11"/>
    </row>
    <row r="50" spans="1:4">
      <c r="A50" s="23" t="s">
        <v>127</v>
      </c>
      <c r="B50" s="44">
        <f>ROUND(0.1*$B$35,-2)</f>
        <v>20600</v>
      </c>
      <c r="C50" s="38" t="s">
        <v>124</v>
      </c>
      <c r="D50" s="11"/>
    </row>
    <row r="51" spans="1:4">
      <c r="A51" s="23" t="s">
        <v>128</v>
      </c>
      <c r="B51" s="44">
        <f>ROUND(0.02*$B$35,-2)</f>
        <v>4100</v>
      </c>
      <c r="C51" s="38" t="s">
        <v>109</v>
      </c>
      <c r="D51" s="11"/>
    </row>
    <row r="52" spans="1:4">
      <c r="A52" s="23" t="s">
        <v>129</v>
      </c>
      <c r="B52" s="44">
        <f>ROUND(0.01*$B$35,-2)</f>
        <v>2100</v>
      </c>
      <c r="C52" s="38" t="s">
        <v>111</v>
      </c>
      <c r="D52" s="11"/>
    </row>
    <row r="53" spans="1:4">
      <c r="A53" s="23" t="s">
        <v>130</v>
      </c>
      <c r="B53" s="50">
        <f>ROUND(0.03*$B$35,-2)</f>
        <v>6200</v>
      </c>
      <c r="C53" s="38" t="s">
        <v>131</v>
      </c>
      <c r="D53" s="11"/>
    </row>
    <row r="54" spans="1:4">
      <c r="A54" s="23" t="s">
        <v>132</v>
      </c>
      <c r="B54" s="50"/>
      <c r="C54" s="38"/>
      <c r="D54" s="11"/>
    </row>
    <row r="55" spans="1:4" ht="15.6" thickBot="1">
      <c r="A55" s="51" t="s">
        <v>133</v>
      </c>
      <c r="B55" s="52">
        <f>SUM(B48:B53)</f>
        <v>63900</v>
      </c>
      <c r="C55" s="53" t="s">
        <v>134</v>
      </c>
      <c r="D55" s="11"/>
    </row>
    <row r="56" spans="1:4" ht="17.25" customHeight="1" thickTop="1">
      <c r="A56" s="54" t="s">
        <v>135</v>
      </c>
      <c r="B56" s="55">
        <f>ROUND(B46+B55,-2)</f>
        <v>332300</v>
      </c>
      <c r="C56" s="56" t="s">
        <v>136</v>
      </c>
      <c r="D56" s="11"/>
    </row>
    <row r="57" spans="1:4" ht="10.5" customHeight="1">
      <c r="A57" s="54"/>
      <c r="B57" s="55"/>
      <c r="C57" s="57"/>
      <c r="D57" s="11"/>
    </row>
    <row r="58" spans="1:4">
      <c r="A58" s="12" t="s">
        <v>67</v>
      </c>
      <c r="B58" s="13">
        <v>99</v>
      </c>
      <c r="C58" s="11"/>
      <c r="D58" s="11"/>
    </row>
    <row r="59" spans="1:4" ht="20.25" customHeight="1">
      <c r="A59" s="15" t="s">
        <v>137</v>
      </c>
      <c r="B59" s="14"/>
      <c r="C59" s="11"/>
      <c r="D59" s="11"/>
    </row>
    <row r="60" spans="1:4" ht="12.75" customHeight="1">
      <c r="A60" s="58" t="s">
        <v>69</v>
      </c>
      <c r="B60" s="58" t="s">
        <v>70</v>
      </c>
      <c r="C60" s="58" t="s">
        <v>88</v>
      </c>
      <c r="D60" s="58" t="s">
        <v>0</v>
      </c>
    </row>
    <row r="61" spans="1:4">
      <c r="A61" s="59" t="s">
        <v>138</v>
      </c>
      <c r="B61" s="60"/>
      <c r="C61" s="61"/>
      <c r="D61" s="61"/>
    </row>
    <row r="62" spans="1:4">
      <c r="A62" s="62" t="s">
        <v>139</v>
      </c>
      <c r="B62" s="63">
        <v>1000</v>
      </c>
      <c r="C62" s="64"/>
      <c r="D62" s="65" t="s">
        <v>140</v>
      </c>
    </row>
    <row r="63" spans="1:4">
      <c r="A63" s="62" t="s">
        <v>141</v>
      </c>
      <c r="B63" s="66">
        <f>B23</f>
        <v>0.1009143</v>
      </c>
      <c r="C63" s="64"/>
      <c r="D63" s="64"/>
    </row>
    <row r="64" spans="1:4">
      <c r="A64" s="62" t="s">
        <v>142</v>
      </c>
      <c r="B64" s="67">
        <f>B62*B63*B11</f>
        <v>884009.26799999992</v>
      </c>
      <c r="C64" s="64"/>
      <c r="D64" s="64"/>
    </row>
    <row r="65" spans="1:5">
      <c r="A65" s="68" t="s">
        <v>143</v>
      </c>
      <c r="B65" s="69"/>
      <c r="C65" s="70"/>
      <c r="D65" s="70"/>
    </row>
    <row r="66" spans="1:5">
      <c r="A66" s="71" t="s">
        <v>144</v>
      </c>
      <c r="B66" s="72">
        <v>0.5</v>
      </c>
      <c r="C66" s="73" t="s">
        <v>145</v>
      </c>
      <c r="D66" s="65" t="s">
        <v>146</v>
      </c>
    </row>
    <row r="67" spans="1:5">
      <c r="A67" s="71" t="s">
        <v>147</v>
      </c>
      <c r="B67" s="74">
        <f>B75</f>
        <v>48.829499999999996</v>
      </c>
      <c r="C67" s="65" t="s">
        <v>140</v>
      </c>
      <c r="D67" s="65" t="s">
        <v>146</v>
      </c>
    </row>
    <row r="68" spans="1:5">
      <c r="A68" s="75" t="s">
        <v>148</v>
      </c>
      <c r="B68" s="76">
        <f>ROUND(B66*3*365*B67,-1)</f>
        <v>26730</v>
      </c>
      <c r="C68" s="77" t="s">
        <v>149</v>
      </c>
      <c r="D68" s="77" t="s">
        <v>146</v>
      </c>
    </row>
    <row r="69" spans="1:5">
      <c r="A69" s="78" t="s">
        <v>150</v>
      </c>
      <c r="B69" s="79">
        <f>B64+B68</f>
        <v>910739.26799999992</v>
      </c>
      <c r="C69" s="80"/>
      <c r="D69" s="65" t="s">
        <v>140</v>
      </c>
    </row>
    <row r="70" spans="1:5">
      <c r="A70" s="68" t="s">
        <v>151</v>
      </c>
      <c r="B70" s="69"/>
      <c r="C70" s="70"/>
      <c r="D70" s="70"/>
    </row>
    <row r="71" spans="1:5">
      <c r="A71" s="75" t="s">
        <v>142</v>
      </c>
      <c r="B71" s="81">
        <f>ROUND(0.15*B68,-1)</f>
        <v>4010</v>
      </c>
      <c r="C71" s="77" t="s">
        <v>152</v>
      </c>
      <c r="D71" s="77" t="s">
        <v>153</v>
      </c>
    </row>
    <row r="72" spans="1:5">
      <c r="A72" s="68" t="s">
        <v>154</v>
      </c>
      <c r="B72" s="69"/>
      <c r="C72" s="70"/>
      <c r="D72" s="70"/>
    </row>
    <row r="73" spans="1:5" s="43" customFormat="1">
      <c r="A73" s="71" t="s">
        <v>155</v>
      </c>
      <c r="B73" s="82">
        <f>300</f>
        <v>300</v>
      </c>
      <c r="C73" s="73"/>
      <c r="D73" s="65" t="s">
        <v>140</v>
      </c>
    </row>
    <row r="74" spans="1:5" s="43" customFormat="1">
      <c r="A74" s="71" t="s">
        <v>156</v>
      </c>
      <c r="B74" s="82">
        <f>ROUND(400*$B$17/175,-1)</f>
        <v>560</v>
      </c>
      <c r="C74" s="73"/>
      <c r="D74" s="65" t="s">
        <v>140</v>
      </c>
    </row>
    <row r="75" spans="1:5" s="43" customFormat="1">
      <c r="A75" s="71" t="s">
        <v>147</v>
      </c>
      <c r="B75" s="74">
        <f>B25</f>
        <v>48.829499999999996</v>
      </c>
      <c r="C75" s="65" t="str">
        <f>IF($B$25=0,"Industry Averages","Facility Data")</f>
        <v>Facility Data</v>
      </c>
      <c r="D75" s="65" t="s">
        <v>140</v>
      </c>
    </row>
    <row r="76" spans="1:5" s="43" customFormat="1">
      <c r="A76" s="71" t="s">
        <v>148</v>
      </c>
      <c r="B76" s="83">
        <f>ROUND((B73+B74)*B75,-1)</f>
        <v>41990</v>
      </c>
      <c r="C76" s="65" t="s">
        <v>149</v>
      </c>
      <c r="D76" s="65" t="s">
        <v>146</v>
      </c>
    </row>
    <row r="77" spans="1:5" s="43" customFormat="1">
      <c r="A77" s="71" t="s">
        <v>157</v>
      </c>
      <c r="B77" s="83">
        <f>ROUND(+B76,-1)</f>
        <v>41990</v>
      </c>
      <c r="C77" s="65" t="s">
        <v>158</v>
      </c>
      <c r="D77" s="65" t="s">
        <v>153</v>
      </c>
    </row>
    <row r="78" spans="1:5" s="43" customFormat="1">
      <c r="A78" s="75" t="s">
        <v>159</v>
      </c>
      <c r="B78" s="81">
        <f>ROUND(+B77+B76,-1)</f>
        <v>83980</v>
      </c>
      <c r="C78" s="77" t="s">
        <v>149</v>
      </c>
      <c r="D78" s="77" t="s">
        <v>146</v>
      </c>
    </row>
    <row r="79" spans="1:5">
      <c r="A79" s="68" t="s">
        <v>160</v>
      </c>
      <c r="B79" s="69"/>
      <c r="C79" s="70"/>
      <c r="D79" s="70"/>
    </row>
    <row r="80" spans="1:5" s="43" customFormat="1">
      <c r="A80" s="84" t="s">
        <v>161</v>
      </c>
      <c r="B80" s="85">
        <f>103936.196319018*1.0851</f>
        <v>112781.16662576642</v>
      </c>
      <c r="C80" s="73"/>
      <c r="D80" s="65" t="s">
        <v>162</v>
      </c>
      <c r="E80" s="30" t="s">
        <v>60</v>
      </c>
    </row>
    <row r="81" spans="1:8">
      <c r="A81" s="84" t="s">
        <v>163</v>
      </c>
      <c r="B81" s="85">
        <f>(0/100)*B80</f>
        <v>0</v>
      </c>
      <c r="C81" s="73" t="s">
        <v>164</v>
      </c>
      <c r="D81" s="73" t="s">
        <v>140</v>
      </c>
    </row>
    <row r="82" spans="1:8">
      <c r="A82" s="84" t="s">
        <v>165</v>
      </c>
      <c r="B82" s="72">
        <v>5</v>
      </c>
      <c r="C82" s="73" t="s">
        <v>166</v>
      </c>
      <c r="D82" s="73" t="s">
        <v>140</v>
      </c>
      <c r="G82" s="86"/>
    </row>
    <row r="83" spans="1:8">
      <c r="A83" s="84" t="s">
        <v>167</v>
      </c>
      <c r="B83" s="87">
        <f>+B13</f>
        <v>7</v>
      </c>
      <c r="C83" s="73" t="s">
        <v>168</v>
      </c>
      <c r="D83" s="73" t="s">
        <v>140</v>
      </c>
      <c r="G83" s="86"/>
    </row>
    <row r="84" spans="1:8" s="43" customFormat="1">
      <c r="A84" s="84" t="s">
        <v>169</v>
      </c>
      <c r="B84" s="88">
        <f>((1+B83/100)^-B82+(1+B83/100)^-(B82*2))*((B83/100)*((1+B83/100)^B12))/(((1+B83/100)^B12)-1)</f>
        <v>0.17389069444137403</v>
      </c>
      <c r="C84" s="73"/>
      <c r="D84" s="73"/>
      <c r="G84" s="89"/>
    </row>
    <row r="85" spans="1:8" s="43" customFormat="1">
      <c r="A85" s="75" t="s">
        <v>170</v>
      </c>
      <c r="B85" s="81">
        <f>ROUND(B84*(B80+B81),-1)</f>
        <v>19610</v>
      </c>
      <c r="C85" s="77" t="s">
        <v>171</v>
      </c>
      <c r="D85" s="77" t="s">
        <v>146</v>
      </c>
      <c r="F85" s="90"/>
      <c r="G85" s="89"/>
    </row>
    <row r="86" spans="1:8">
      <c r="A86" s="68" t="s">
        <v>172</v>
      </c>
      <c r="B86" s="69"/>
      <c r="C86" s="70"/>
      <c r="D86" s="70"/>
      <c r="F86" s="91"/>
      <c r="G86" s="92"/>
      <c r="H86" s="91"/>
    </row>
    <row r="87" spans="1:8" ht="13.5" customHeight="1">
      <c r="A87" s="71" t="s">
        <v>173</v>
      </c>
      <c r="B87" s="85">
        <f>ROUND(0.6*(B68+B71+B78),-1)</f>
        <v>68830</v>
      </c>
      <c r="C87" s="65" t="s">
        <v>174</v>
      </c>
      <c r="D87" s="65" t="s">
        <v>153</v>
      </c>
      <c r="F87" s="91"/>
      <c r="G87" s="92"/>
      <c r="H87" s="91"/>
    </row>
    <row r="88" spans="1:8" ht="12.75" customHeight="1">
      <c r="A88" s="71" t="s">
        <v>175</v>
      </c>
      <c r="B88" s="83">
        <f>ROUND(0.02*B56,-1)</f>
        <v>6650</v>
      </c>
      <c r="C88" s="65" t="s">
        <v>176</v>
      </c>
      <c r="D88" s="65" t="s">
        <v>153</v>
      </c>
      <c r="F88" s="91"/>
      <c r="G88" s="92"/>
      <c r="H88" s="91"/>
    </row>
    <row r="89" spans="1:8">
      <c r="A89" s="71" t="s">
        <v>177</v>
      </c>
      <c r="B89" s="83">
        <f>ROUND(0.01*B56,-1)</f>
        <v>3320</v>
      </c>
      <c r="C89" s="65" t="s">
        <v>178</v>
      </c>
      <c r="D89" s="65" t="s">
        <v>153</v>
      </c>
      <c r="F89" s="91"/>
      <c r="G89" s="92"/>
      <c r="H89" s="91"/>
    </row>
    <row r="90" spans="1:8">
      <c r="A90" s="71" t="s">
        <v>179</v>
      </c>
      <c r="B90" s="83">
        <f>ROUND(0.01*B56,-1)</f>
        <v>3320</v>
      </c>
      <c r="C90" s="65" t="s">
        <v>178</v>
      </c>
      <c r="D90" s="65" t="s">
        <v>153</v>
      </c>
      <c r="F90" s="91"/>
      <c r="G90" s="91"/>
      <c r="H90" s="91"/>
    </row>
    <row r="91" spans="1:8">
      <c r="A91" s="71" t="s">
        <v>180</v>
      </c>
      <c r="B91" s="85">
        <f>ROUND((B13/100*(1+B13/100)^B12)/((1+B13/100)^B12-1)*(B56-$B$80),-1)</f>
        <v>31250</v>
      </c>
      <c r="C91" s="73" t="s">
        <v>181</v>
      </c>
      <c r="D91" s="65" t="s">
        <v>153</v>
      </c>
      <c r="F91" s="91"/>
      <c r="G91" s="91"/>
      <c r="H91" s="91"/>
    </row>
    <row r="92" spans="1:8" ht="15.6" thickBot="1">
      <c r="A92" s="93" t="s">
        <v>182</v>
      </c>
      <c r="B92" s="94">
        <f>SUM(B87:B91)</f>
        <v>113370</v>
      </c>
      <c r="C92" s="95"/>
      <c r="D92" s="95"/>
      <c r="F92" s="91"/>
    </row>
    <row r="93" spans="1:8" ht="15.6" thickTop="1">
      <c r="A93" s="96" t="s">
        <v>183</v>
      </c>
      <c r="B93" s="97">
        <f>ROUND(+B92+B85+B78+B71+B69,-2)</f>
        <v>1131700</v>
      </c>
      <c r="C93" s="98"/>
      <c r="D93" s="98"/>
    </row>
    <row r="94" spans="1:8">
      <c r="A94" s="96" t="s">
        <v>184</v>
      </c>
      <c r="B94" s="99">
        <f>+B6/100*B20</f>
        <v>4.5552000000000001</v>
      </c>
      <c r="C94" s="98"/>
      <c r="D94" s="98"/>
    </row>
    <row r="95" spans="1:8">
      <c r="A95" s="96" t="s">
        <v>185</v>
      </c>
      <c r="B95" s="99">
        <f>+B7/100*B22</f>
        <v>38.982438000000002</v>
      </c>
      <c r="C95" s="98"/>
      <c r="D95" s="98"/>
    </row>
    <row r="96" spans="1:8">
      <c r="A96" s="96" t="s">
        <v>186</v>
      </c>
      <c r="B96" s="100">
        <f>ROUND((B93/B94), -2)</f>
        <v>248400</v>
      </c>
      <c r="C96" s="11"/>
      <c r="D96" s="11"/>
    </row>
    <row r="97" spans="1:4">
      <c r="A97" s="101" t="s">
        <v>187</v>
      </c>
      <c r="B97" s="102">
        <f>ROUND((B93/B95), -2)</f>
        <v>29000</v>
      </c>
      <c r="C97" s="11"/>
      <c r="D97" s="11"/>
    </row>
  </sheetData>
  <printOptions horizontalCentered="1"/>
  <pageMargins left="0.25" right="0.25" top="0.25" bottom="0.25" header="0.42" footer="0.3"/>
  <pageSetup paperSize="138" scale="82" fitToWidth="0" orientation="portrait" horizontalDpi="300" verticalDpi="300" r:id="rId1"/>
  <headerFooter alignWithMargins="0"/>
  <rowBreaks count="1" manualBreakCount="1">
    <brk id="5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00"/>
  <sheetViews>
    <sheetView view="pageBreakPreview" topLeftCell="A82" zoomScaleNormal="100" zoomScaleSheetLayoutView="100" workbookViewId="0">
      <selection activeCell="C19" sqref="C19"/>
    </sheetView>
  </sheetViews>
  <sheetFormatPr defaultColWidth="9.109375" defaultRowHeight="13.2"/>
  <cols>
    <col min="1" max="1" width="40.6640625" style="103" customWidth="1"/>
    <col min="2" max="2" width="31.88671875" style="103" customWidth="1"/>
    <col min="3" max="3" width="33.88671875" style="103" customWidth="1"/>
    <col min="4" max="4" width="10.6640625" style="103" bestFit="1" customWidth="1"/>
    <col min="5" max="16384" width="9.109375" style="103"/>
  </cols>
  <sheetData>
    <row r="1" spans="1:7" ht="17.399999999999999">
      <c r="B1" s="104"/>
      <c r="C1" s="3" t="s">
        <v>190</v>
      </c>
      <c r="D1" s="104"/>
    </row>
    <row r="2" spans="1:7" ht="17.399999999999999">
      <c r="B2" s="105"/>
      <c r="C2" s="5" t="s">
        <v>188</v>
      </c>
      <c r="D2" s="105"/>
    </row>
    <row r="3" spans="1:7" ht="17.399999999999999">
      <c r="B3" s="106"/>
      <c r="C3" s="7" t="s">
        <v>64</v>
      </c>
      <c r="D3" s="106"/>
      <c r="E3" s="107"/>
      <c r="F3" s="107"/>
      <c r="G3" s="107"/>
    </row>
    <row r="4" spans="1:7" ht="17.399999999999999">
      <c r="B4" s="106"/>
      <c r="C4" s="7" t="s">
        <v>65</v>
      </c>
      <c r="D4" s="106"/>
      <c r="E4" s="107"/>
      <c r="F4" s="107"/>
      <c r="G4" s="107"/>
    </row>
    <row r="5" spans="1:7">
      <c r="C5" s="108"/>
      <c r="D5" s="108"/>
    </row>
    <row r="6" spans="1:7">
      <c r="A6" s="109" t="s">
        <v>66</v>
      </c>
      <c r="B6" s="110">
        <v>80</v>
      </c>
      <c r="C6" s="108"/>
      <c r="D6" s="108"/>
    </row>
    <row r="7" spans="1:7">
      <c r="A7" s="111" t="s">
        <v>67</v>
      </c>
      <c r="B7" s="112">
        <v>99</v>
      </c>
      <c r="C7" s="108"/>
      <c r="D7" s="108"/>
    </row>
    <row r="8" spans="1:7">
      <c r="C8" s="108"/>
      <c r="D8" s="108"/>
    </row>
    <row r="9" spans="1:7" ht="15.6">
      <c r="A9" s="113" t="s">
        <v>68</v>
      </c>
      <c r="C9" s="108"/>
      <c r="D9" s="108"/>
    </row>
    <row r="10" spans="1:7">
      <c r="C10" s="108"/>
      <c r="D10" s="108"/>
    </row>
    <row r="11" spans="1:7" ht="13.8" thickBot="1">
      <c r="A11" s="114" t="s">
        <v>69</v>
      </c>
      <c r="B11" s="115" t="s">
        <v>70</v>
      </c>
      <c r="C11" s="108"/>
      <c r="D11" s="108"/>
    </row>
    <row r="12" spans="1:7" ht="13.8" thickTop="1">
      <c r="A12" s="116" t="s">
        <v>71</v>
      </c>
      <c r="B12" s="117">
        <v>8760</v>
      </c>
      <c r="C12" s="108"/>
      <c r="D12" s="108"/>
    </row>
    <row r="13" spans="1:7">
      <c r="A13" s="118" t="s">
        <v>72</v>
      </c>
      <c r="B13" s="117">
        <v>10</v>
      </c>
      <c r="C13" s="108"/>
      <c r="D13" s="108"/>
    </row>
    <row r="14" spans="1:7">
      <c r="A14" s="118" t="s">
        <v>73</v>
      </c>
      <c r="B14" s="119">
        <v>7</v>
      </c>
      <c r="C14" s="108"/>
      <c r="D14" s="108"/>
    </row>
    <row r="15" spans="1:7">
      <c r="A15" s="118" t="s">
        <v>74</v>
      </c>
      <c r="B15" s="120">
        <f>((B14/100)*(1+(B14/100))^B13)/((1+(B14/100))^B13-1)</f>
        <v>0.14237750272736471</v>
      </c>
      <c r="C15" s="108"/>
      <c r="D15" s="108"/>
    </row>
    <row r="16" spans="1:7">
      <c r="A16" s="118" t="s">
        <v>75</v>
      </c>
      <c r="B16" s="120"/>
      <c r="C16" s="108"/>
      <c r="D16" s="108"/>
    </row>
    <row r="17" spans="1:4">
      <c r="A17" s="121" t="s">
        <v>76</v>
      </c>
      <c r="B17" s="122" t="s">
        <v>77</v>
      </c>
      <c r="C17" s="108"/>
      <c r="D17" s="108"/>
    </row>
    <row r="18" spans="1:4">
      <c r="A18" s="121" t="s">
        <v>1</v>
      </c>
      <c r="B18" s="122">
        <f>55.443+46.729</f>
        <v>102.172</v>
      </c>
      <c r="C18" s="108"/>
      <c r="D18" s="108"/>
    </row>
    <row r="19" spans="1:4">
      <c r="A19" s="121" t="s">
        <v>78</v>
      </c>
      <c r="B19" s="123">
        <v>46750</v>
      </c>
      <c r="C19" s="124" t="s">
        <v>79</v>
      </c>
      <c r="D19" s="108"/>
    </row>
    <row r="20" spans="1:4">
      <c r="A20" s="121" t="s">
        <v>80</v>
      </c>
      <c r="B20" s="125">
        <v>0.37</v>
      </c>
      <c r="C20" s="108"/>
      <c r="D20" s="108"/>
    </row>
    <row r="21" spans="1:4">
      <c r="A21" s="121" t="s">
        <v>81</v>
      </c>
      <c r="B21" s="125">
        <v>1.61</v>
      </c>
      <c r="C21" s="108"/>
      <c r="D21" s="108"/>
    </row>
    <row r="22" spans="1:4">
      <c r="A22" s="121" t="s">
        <v>82</v>
      </c>
      <c r="B22" s="125">
        <v>11.14</v>
      </c>
      <c r="C22" s="108"/>
      <c r="D22" s="108"/>
    </row>
    <row r="23" spans="1:4">
      <c r="A23" s="121" t="s">
        <v>83</v>
      </c>
      <c r="B23" s="125">
        <v>48.78</v>
      </c>
      <c r="C23" s="108"/>
      <c r="D23" s="108"/>
    </row>
    <row r="24" spans="1:4">
      <c r="A24" s="121" t="s">
        <v>84</v>
      </c>
      <c r="B24" s="126">
        <f>0.093*1.0851</f>
        <v>0.1009143</v>
      </c>
      <c r="C24" s="30" t="s">
        <v>60</v>
      </c>
      <c r="D24" s="108"/>
    </row>
    <row r="25" spans="1:4">
      <c r="A25" s="121" t="s">
        <v>85</v>
      </c>
      <c r="B25" s="127">
        <f>45*1.0851</f>
        <v>48.829499999999996</v>
      </c>
      <c r="C25" s="30" t="s">
        <v>60</v>
      </c>
      <c r="D25" s="108"/>
    </row>
    <row r="26" spans="1:4">
      <c r="A26" s="128" t="s">
        <v>86</v>
      </c>
      <c r="B26" s="129">
        <f>45*1.0851</f>
        <v>48.829499999999996</v>
      </c>
      <c r="C26" s="30" t="s">
        <v>60</v>
      </c>
      <c r="D26" s="108"/>
    </row>
    <row r="27" spans="1:4">
      <c r="C27" s="108"/>
      <c r="D27" s="108"/>
    </row>
    <row r="28" spans="1:4" ht="15.6">
      <c r="A28" s="113" t="s">
        <v>87</v>
      </c>
      <c r="C28" s="108"/>
      <c r="D28" s="108"/>
    </row>
    <row r="29" spans="1:4">
      <c r="C29" s="108"/>
      <c r="D29" s="108"/>
    </row>
    <row r="30" spans="1:4" ht="13.8" thickBot="1">
      <c r="A30" s="114"/>
      <c r="B30" s="130" t="s">
        <v>70</v>
      </c>
      <c r="C30" s="131" t="s">
        <v>88</v>
      </c>
      <c r="D30" s="108"/>
    </row>
    <row r="31" spans="1:4" ht="13.8" thickTop="1">
      <c r="A31" s="132" t="s">
        <v>89</v>
      </c>
      <c r="B31" s="133"/>
      <c r="C31" s="134"/>
      <c r="D31" s="108"/>
    </row>
    <row r="32" spans="1:4">
      <c r="A32" s="121" t="s">
        <v>90</v>
      </c>
      <c r="B32" s="135"/>
      <c r="C32" s="134"/>
      <c r="D32" s="108"/>
    </row>
    <row r="33" spans="1:6" s="139" customFormat="1">
      <c r="A33" s="121" t="s">
        <v>91</v>
      </c>
      <c r="B33" s="136">
        <f>(105000*(B18/175)*('[1]ENR CCI'!B5/'[1]ENR CCI'!B7))*1.0851</f>
        <v>71130.10713881391</v>
      </c>
      <c r="C33" s="137" t="s">
        <v>92</v>
      </c>
      <c r="D33" s="30" t="s">
        <v>60</v>
      </c>
      <c r="E33" s="138"/>
    </row>
    <row r="34" spans="1:6">
      <c r="A34" s="121" t="s">
        <v>93</v>
      </c>
      <c r="B34" s="140">
        <f>ROUND(0.1*$B$33,-2)</f>
        <v>7100</v>
      </c>
      <c r="C34" s="134" t="s">
        <v>94</v>
      </c>
      <c r="D34" s="108"/>
    </row>
    <row r="35" spans="1:6">
      <c r="A35" s="121" t="s">
        <v>95</v>
      </c>
      <c r="B35" s="140">
        <f>ROUND(0.07*$B$33,-2)</f>
        <v>5000</v>
      </c>
      <c r="C35" s="134" t="s">
        <v>96</v>
      </c>
      <c r="D35" s="108"/>
    </row>
    <row r="36" spans="1:6">
      <c r="A36" s="121" t="s">
        <v>97</v>
      </c>
      <c r="B36" s="141">
        <f>ROUND(0.05*$B$33,-2)</f>
        <v>3600</v>
      </c>
      <c r="C36" s="142" t="s">
        <v>98</v>
      </c>
      <c r="D36" s="108"/>
    </row>
    <row r="37" spans="1:6">
      <c r="A37" s="121" t="s">
        <v>99</v>
      </c>
      <c r="B37" s="140">
        <f>SUM(B33:B36)</f>
        <v>86830.10713881391</v>
      </c>
      <c r="C37" s="134" t="s">
        <v>100</v>
      </c>
      <c r="D37" s="108"/>
    </row>
    <row r="38" spans="1:6">
      <c r="A38" s="121" t="s">
        <v>101</v>
      </c>
      <c r="B38" s="133"/>
      <c r="C38" s="134"/>
      <c r="D38" s="108"/>
    </row>
    <row r="39" spans="1:6">
      <c r="A39" s="121" t="s">
        <v>102</v>
      </c>
      <c r="B39" s="140">
        <f>ROUND(0.08*$B$37,-2)</f>
        <v>6900</v>
      </c>
      <c r="C39" s="134" t="s">
        <v>103</v>
      </c>
      <c r="D39" s="108"/>
    </row>
    <row r="40" spans="1:6">
      <c r="A40" s="121" t="s">
        <v>104</v>
      </c>
      <c r="B40" s="140">
        <f>ROUND(0.14*$B$37,-2)</f>
        <v>12200</v>
      </c>
      <c r="C40" s="134" t="s">
        <v>105</v>
      </c>
      <c r="D40" s="108"/>
    </row>
    <row r="41" spans="1:6">
      <c r="A41" s="121" t="s">
        <v>106</v>
      </c>
      <c r="B41" s="140">
        <f>ROUND(0.04*$B$37,-2)</f>
        <v>3500</v>
      </c>
      <c r="C41" s="134" t="s">
        <v>107</v>
      </c>
      <c r="D41" s="108"/>
    </row>
    <row r="42" spans="1:6">
      <c r="A42" s="121" t="s">
        <v>108</v>
      </c>
      <c r="B42" s="140">
        <f>ROUND(0.02*$B$37,-2)</f>
        <v>1700</v>
      </c>
      <c r="C42" s="134" t="s">
        <v>109</v>
      </c>
      <c r="D42" s="108"/>
    </row>
    <row r="43" spans="1:6">
      <c r="A43" s="121" t="s">
        <v>110</v>
      </c>
      <c r="B43" s="140">
        <f>ROUND(0.01*$B$37,-2)</f>
        <v>900</v>
      </c>
      <c r="C43" s="134" t="s">
        <v>111</v>
      </c>
      <c r="D43" s="108"/>
    </row>
    <row r="44" spans="1:6">
      <c r="A44" s="121" t="s">
        <v>112</v>
      </c>
      <c r="B44" s="141">
        <f>ROUND(0.01*$B$37,-2)</f>
        <v>900</v>
      </c>
      <c r="C44" s="142" t="s">
        <v>111</v>
      </c>
      <c r="D44" s="108"/>
    </row>
    <row r="45" spans="1:6">
      <c r="A45" s="121" t="s">
        <v>113</v>
      </c>
      <c r="B45" s="140">
        <f>SUM(B39:B44)</f>
        <v>26100</v>
      </c>
      <c r="C45" s="134" t="s">
        <v>114</v>
      </c>
      <c r="D45" s="108"/>
    </row>
    <row r="46" spans="1:6">
      <c r="A46" s="121" t="s">
        <v>115</v>
      </c>
      <c r="B46" s="143" t="s">
        <v>116</v>
      </c>
      <c r="C46" s="134" t="s">
        <v>117</v>
      </c>
      <c r="D46" s="108"/>
      <c r="F46" s="144"/>
    </row>
    <row r="47" spans="1:6">
      <c r="A47" s="121" t="s">
        <v>118</v>
      </c>
      <c r="B47" s="145" t="s">
        <v>116</v>
      </c>
      <c r="C47" s="142" t="s">
        <v>119</v>
      </c>
      <c r="D47" s="108"/>
    </row>
    <row r="48" spans="1:6">
      <c r="A48" s="132" t="s">
        <v>120</v>
      </c>
      <c r="B48" s="140">
        <f>ROUND(B37+B45,-2)</f>
        <v>112900</v>
      </c>
      <c r="C48" s="134" t="s">
        <v>121</v>
      </c>
      <c r="D48" s="108"/>
    </row>
    <row r="49" spans="1:4">
      <c r="A49" s="132" t="s">
        <v>122</v>
      </c>
      <c r="B49" s="140"/>
      <c r="C49" s="134"/>
      <c r="D49" s="108"/>
    </row>
    <row r="50" spans="1:4">
      <c r="A50" s="121" t="s">
        <v>123</v>
      </c>
      <c r="B50" s="140">
        <f>ROUND(0.1*$B$37,-2)</f>
        <v>8700</v>
      </c>
      <c r="C50" s="134" t="s">
        <v>124</v>
      </c>
      <c r="D50" s="108"/>
    </row>
    <row r="51" spans="1:4">
      <c r="A51" s="121" t="s">
        <v>125</v>
      </c>
      <c r="B51" s="140">
        <f>ROUND(0.05*$B$37,-2)</f>
        <v>4300</v>
      </c>
      <c r="C51" s="134" t="s">
        <v>126</v>
      </c>
      <c r="D51" s="108"/>
    </row>
    <row r="52" spans="1:4">
      <c r="A52" s="121" t="s">
        <v>127</v>
      </c>
      <c r="B52" s="140">
        <f>ROUND(0.1*$B$37,-2)</f>
        <v>8700</v>
      </c>
      <c r="C52" s="134" t="s">
        <v>124</v>
      </c>
      <c r="D52" s="108"/>
    </row>
    <row r="53" spans="1:4">
      <c r="A53" s="121" t="s">
        <v>128</v>
      </c>
      <c r="B53" s="140">
        <f>ROUND(0.02*$B$37,-2)</f>
        <v>1700</v>
      </c>
      <c r="C53" s="134" t="s">
        <v>109</v>
      </c>
      <c r="D53" s="108"/>
    </row>
    <row r="54" spans="1:4">
      <c r="A54" s="121" t="s">
        <v>129</v>
      </c>
      <c r="B54" s="140">
        <f>ROUND(0.01*$B$37,-2)</f>
        <v>900</v>
      </c>
      <c r="C54" s="134" t="s">
        <v>111</v>
      </c>
      <c r="D54" s="108"/>
    </row>
    <row r="55" spans="1:4">
      <c r="A55" s="121" t="s">
        <v>130</v>
      </c>
      <c r="B55" s="146">
        <f>ROUND(0.03*$B$37,-2)</f>
        <v>2600</v>
      </c>
      <c r="C55" s="134" t="s">
        <v>131</v>
      </c>
      <c r="D55" s="108"/>
    </row>
    <row r="56" spans="1:4">
      <c r="A56" s="121" t="s">
        <v>132</v>
      </c>
      <c r="B56" s="146"/>
      <c r="C56" s="134"/>
      <c r="D56" s="108"/>
    </row>
    <row r="57" spans="1:4" ht="13.8" thickBot="1">
      <c r="A57" s="147" t="s">
        <v>133</v>
      </c>
      <c r="B57" s="148">
        <f>SUM(B50:B55)</f>
        <v>26900</v>
      </c>
      <c r="C57" s="149" t="s">
        <v>134</v>
      </c>
      <c r="D57" s="108"/>
    </row>
    <row r="58" spans="1:4" ht="13.8" thickTop="1">
      <c r="A58" s="150" t="s">
        <v>135</v>
      </c>
      <c r="B58" s="151">
        <f>ROUND(B48+B57,-2)</f>
        <v>139800</v>
      </c>
      <c r="C58" s="152" t="s">
        <v>136</v>
      </c>
      <c r="D58" s="108"/>
    </row>
    <row r="59" spans="1:4">
      <c r="A59" s="153"/>
      <c r="C59" s="108"/>
      <c r="D59" s="108"/>
    </row>
    <row r="60" spans="1:4">
      <c r="A60" s="153"/>
      <c r="C60" s="108"/>
      <c r="D60" s="108"/>
    </row>
    <row r="61" spans="1:4" ht="15.6">
      <c r="A61" s="113" t="s">
        <v>137</v>
      </c>
      <c r="C61" s="108"/>
      <c r="D61" s="108"/>
    </row>
    <row r="62" spans="1:4">
      <c r="C62" s="108"/>
      <c r="D62" s="108"/>
    </row>
    <row r="63" spans="1:4">
      <c r="A63" s="154" t="s">
        <v>69</v>
      </c>
      <c r="B63" s="154" t="s">
        <v>70</v>
      </c>
      <c r="C63" s="154" t="s">
        <v>88</v>
      </c>
      <c r="D63" s="154" t="s">
        <v>0</v>
      </c>
    </row>
    <row r="64" spans="1:4">
      <c r="A64" s="155" t="s">
        <v>138</v>
      </c>
      <c r="B64" s="156"/>
      <c r="C64" s="157"/>
      <c r="D64" s="157"/>
    </row>
    <row r="65" spans="1:4">
      <c r="A65" s="158" t="s">
        <v>139</v>
      </c>
      <c r="B65" s="159">
        <v>1000</v>
      </c>
      <c r="C65" s="160"/>
      <c r="D65" s="161" t="s">
        <v>140</v>
      </c>
    </row>
    <row r="66" spans="1:4">
      <c r="A66" s="158" t="s">
        <v>141</v>
      </c>
      <c r="B66" s="162">
        <f>B24</f>
        <v>0.1009143</v>
      </c>
      <c r="C66" s="160"/>
      <c r="D66" s="160"/>
    </row>
    <row r="67" spans="1:4">
      <c r="A67" s="158" t="s">
        <v>142</v>
      </c>
      <c r="B67" s="163">
        <f>B65*B66*B12</f>
        <v>884009.26799999992</v>
      </c>
      <c r="C67" s="160"/>
      <c r="D67" s="160"/>
    </row>
    <row r="68" spans="1:4">
      <c r="A68" s="164" t="s">
        <v>143</v>
      </c>
      <c r="B68" s="165"/>
      <c r="C68" s="166"/>
      <c r="D68" s="166"/>
    </row>
    <row r="69" spans="1:4">
      <c r="A69" s="167" t="s">
        <v>144</v>
      </c>
      <c r="B69" s="168">
        <v>0.5</v>
      </c>
      <c r="C69" s="169" t="s">
        <v>145</v>
      </c>
      <c r="D69" s="161" t="s">
        <v>146</v>
      </c>
    </row>
    <row r="70" spans="1:4">
      <c r="A70" s="167" t="s">
        <v>147</v>
      </c>
      <c r="B70" s="170">
        <f>B78</f>
        <v>48.829499999999996</v>
      </c>
      <c r="C70" s="161" t="s">
        <v>140</v>
      </c>
      <c r="D70" s="161" t="s">
        <v>146</v>
      </c>
    </row>
    <row r="71" spans="1:4">
      <c r="A71" s="171" t="s">
        <v>148</v>
      </c>
      <c r="B71" s="172">
        <f>ROUND(B69*3*365*B70,-1)</f>
        <v>26730</v>
      </c>
      <c r="C71" s="173" t="s">
        <v>149</v>
      </c>
      <c r="D71" s="173" t="s">
        <v>146</v>
      </c>
    </row>
    <row r="72" spans="1:4">
      <c r="A72" s="174" t="s">
        <v>150</v>
      </c>
      <c r="B72" s="175">
        <f>B67+B71</f>
        <v>910739.26799999992</v>
      </c>
      <c r="C72" s="176"/>
      <c r="D72" s="161" t="s">
        <v>140</v>
      </c>
    </row>
    <row r="73" spans="1:4">
      <c r="A73" s="164" t="s">
        <v>151</v>
      </c>
      <c r="B73" s="165"/>
      <c r="C73" s="166"/>
      <c r="D73" s="166"/>
    </row>
    <row r="74" spans="1:4">
      <c r="A74" s="171" t="s">
        <v>142</v>
      </c>
      <c r="B74" s="177">
        <f>ROUND(0.15*B71,-1)</f>
        <v>4010</v>
      </c>
      <c r="C74" s="173" t="s">
        <v>152</v>
      </c>
      <c r="D74" s="173" t="s">
        <v>153</v>
      </c>
    </row>
    <row r="75" spans="1:4">
      <c r="A75" s="164" t="s">
        <v>154</v>
      </c>
      <c r="B75" s="165"/>
      <c r="C75" s="166"/>
      <c r="D75" s="166"/>
    </row>
    <row r="76" spans="1:4" s="139" customFormat="1">
      <c r="A76" s="167" t="s">
        <v>155</v>
      </c>
      <c r="B76" s="178">
        <f>300</f>
        <v>300</v>
      </c>
      <c r="C76" s="169"/>
      <c r="D76" s="161" t="s">
        <v>140</v>
      </c>
    </row>
    <row r="77" spans="1:4" s="139" customFormat="1">
      <c r="A77" s="167" t="s">
        <v>156</v>
      </c>
      <c r="B77" s="178">
        <f>ROUND(400*$B$18/175,-1)</f>
        <v>230</v>
      </c>
      <c r="C77" s="169"/>
      <c r="D77" s="161" t="s">
        <v>140</v>
      </c>
    </row>
    <row r="78" spans="1:4" s="139" customFormat="1">
      <c r="A78" s="167" t="s">
        <v>147</v>
      </c>
      <c r="B78" s="170">
        <f>B26</f>
        <v>48.829499999999996</v>
      </c>
      <c r="C78" s="161" t="str">
        <f>IF($B$26=0,"Industry Averages","Facility Data")</f>
        <v>Facility Data</v>
      </c>
      <c r="D78" s="161" t="s">
        <v>140</v>
      </c>
    </row>
    <row r="79" spans="1:4" s="139" customFormat="1">
      <c r="A79" s="167" t="s">
        <v>148</v>
      </c>
      <c r="B79" s="179">
        <f>ROUND((B76+B77)*B78,-1)</f>
        <v>25880</v>
      </c>
      <c r="C79" s="161" t="s">
        <v>149</v>
      </c>
      <c r="D79" s="161" t="s">
        <v>146</v>
      </c>
    </row>
    <row r="80" spans="1:4" s="139" customFormat="1">
      <c r="A80" s="167" t="s">
        <v>157</v>
      </c>
      <c r="B80" s="179">
        <f>ROUND(+B79,-1)</f>
        <v>25880</v>
      </c>
      <c r="C80" s="161" t="s">
        <v>158</v>
      </c>
      <c r="D80" s="161" t="s">
        <v>153</v>
      </c>
    </row>
    <row r="81" spans="1:8" s="139" customFormat="1">
      <c r="A81" s="171" t="s">
        <v>159</v>
      </c>
      <c r="B81" s="177">
        <f>ROUND(+B80+B79,-1)</f>
        <v>51760</v>
      </c>
      <c r="C81" s="173" t="s">
        <v>149</v>
      </c>
      <c r="D81" s="173" t="s">
        <v>146</v>
      </c>
    </row>
    <row r="82" spans="1:8">
      <c r="A82" s="164" t="s">
        <v>160</v>
      </c>
      <c r="B82" s="165"/>
      <c r="C82" s="166"/>
      <c r="D82" s="166"/>
    </row>
    <row r="83" spans="1:8" s="139" customFormat="1">
      <c r="A83" s="180" t="s">
        <v>161</v>
      </c>
      <c r="B83" s="181">
        <f>70000*(B18/175)*('[1]ENR CCI'!B5/'[1]ENR CCI'!B7)*1.0851</f>
        <v>47420.07142587594</v>
      </c>
      <c r="C83" s="169"/>
      <c r="D83" s="161" t="s">
        <v>162</v>
      </c>
      <c r="E83" s="30" t="s">
        <v>60</v>
      </c>
    </row>
    <row r="84" spans="1:8">
      <c r="A84" s="180" t="s">
        <v>163</v>
      </c>
      <c r="B84" s="181">
        <f>(0/100)*B83</f>
        <v>0</v>
      </c>
      <c r="C84" s="169" t="s">
        <v>164</v>
      </c>
      <c r="D84" s="169" t="s">
        <v>140</v>
      </c>
    </row>
    <row r="85" spans="1:8">
      <c r="A85" s="180" t="s">
        <v>165</v>
      </c>
      <c r="B85" s="168">
        <v>5</v>
      </c>
      <c r="C85" s="169" t="s">
        <v>166</v>
      </c>
      <c r="D85" s="169" t="s">
        <v>140</v>
      </c>
      <c r="G85" s="182"/>
    </row>
    <row r="86" spans="1:8">
      <c r="A86" s="180" t="s">
        <v>167</v>
      </c>
      <c r="B86" s="183">
        <f>+B14</f>
        <v>7</v>
      </c>
      <c r="C86" s="169" t="s">
        <v>168</v>
      </c>
      <c r="D86" s="169" t="s">
        <v>140</v>
      </c>
      <c r="G86" s="182"/>
    </row>
    <row r="87" spans="1:8" s="139" customFormat="1">
      <c r="A87" s="180" t="s">
        <v>169</v>
      </c>
      <c r="B87" s="184">
        <f>((1+B86/100)^-B85+(1+B86/100)^-(B85*2))*((B86/100)*((1+B86/100)^B13))/(((1+B86/100)^B13)-1)</f>
        <v>0.17389069444137403</v>
      </c>
      <c r="C87" s="169"/>
      <c r="D87" s="169"/>
      <c r="G87" s="185"/>
    </row>
    <row r="88" spans="1:8" s="139" customFormat="1">
      <c r="A88" s="171" t="s">
        <v>170</v>
      </c>
      <c r="B88" s="177">
        <f>ROUND(B87*(B83+B84),-1)</f>
        <v>8250</v>
      </c>
      <c r="C88" s="173" t="s">
        <v>171</v>
      </c>
      <c r="D88" s="173" t="s">
        <v>146</v>
      </c>
      <c r="F88" s="186"/>
      <c r="G88" s="185"/>
    </row>
    <row r="89" spans="1:8">
      <c r="A89" s="164" t="s">
        <v>172</v>
      </c>
      <c r="B89" s="165"/>
      <c r="C89" s="166"/>
      <c r="D89" s="166"/>
      <c r="F89" s="187"/>
      <c r="G89" s="188"/>
      <c r="H89" s="187"/>
    </row>
    <row r="90" spans="1:8">
      <c r="A90" s="167" t="s">
        <v>173</v>
      </c>
      <c r="B90" s="181">
        <f>ROUND(0.6*(B71+B74+B81),-1)</f>
        <v>49500</v>
      </c>
      <c r="C90" s="161" t="s">
        <v>174</v>
      </c>
      <c r="D90" s="161" t="s">
        <v>153</v>
      </c>
      <c r="F90" s="187"/>
      <c r="G90" s="188"/>
      <c r="H90" s="187"/>
    </row>
    <row r="91" spans="1:8">
      <c r="A91" s="167" t="s">
        <v>175</v>
      </c>
      <c r="B91" s="179">
        <f>ROUND(0.02*B58,-1)</f>
        <v>2800</v>
      </c>
      <c r="C91" s="161" t="s">
        <v>176</v>
      </c>
      <c r="D91" s="161" t="s">
        <v>153</v>
      </c>
      <c r="F91" s="187"/>
      <c r="G91" s="188"/>
      <c r="H91" s="187"/>
    </row>
    <row r="92" spans="1:8">
      <c r="A92" s="167" t="s">
        <v>177</v>
      </c>
      <c r="B92" s="179">
        <f>ROUND(0.01*B58,-1)</f>
        <v>1400</v>
      </c>
      <c r="C92" s="161" t="s">
        <v>178</v>
      </c>
      <c r="D92" s="161" t="s">
        <v>153</v>
      </c>
      <c r="F92" s="187"/>
      <c r="G92" s="188"/>
      <c r="H92" s="187"/>
    </row>
    <row r="93" spans="1:8">
      <c r="A93" s="167" t="s">
        <v>179</v>
      </c>
      <c r="B93" s="179">
        <f>ROUND(0.01*B58,-1)</f>
        <v>1400</v>
      </c>
      <c r="C93" s="161" t="s">
        <v>178</v>
      </c>
      <c r="D93" s="161" t="s">
        <v>153</v>
      </c>
      <c r="F93" s="187"/>
      <c r="G93" s="187"/>
      <c r="H93" s="187"/>
    </row>
    <row r="94" spans="1:8">
      <c r="A94" s="167" t="s">
        <v>180</v>
      </c>
      <c r="B94" s="181">
        <f>ROUND((B14/100*(1+B14/100)^B13)/((1+B14/100)^B13-1)*(B58-$B$83),-1)</f>
        <v>13150</v>
      </c>
      <c r="C94" s="169" t="s">
        <v>181</v>
      </c>
      <c r="D94" s="161" t="s">
        <v>153</v>
      </c>
      <c r="F94" s="187"/>
      <c r="G94" s="187"/>
      <c r="H94" s="187"/>
    </row>
    <row r="95" spans="1:8" ht="13.8" thickBot="1">
      <c r="A95" s="189" t="s">
        <v>182</v>
      </c>
      <c r="B95" s="190">
        <f>SUM(B90:B94)</f>
        <v>68250</v>
      </c>
      <c r="C95" s="191"/>
      <c r="D95" s="191"/>
      <c r="F95" s="187"/>
    </row>
    <row r="96" spans="1:8" ht="13.8" thickTop="1">
      <c r="A96" s="192" t="s">
        <v>183</v>
      </c>
      <c r="B96" s="193">
        <f>ROUND(+B95+B88+B81+B74+B72,-2)</f>
        <v>1043000</v>
      </c>
      <c r="C96" s="194"/>
      <c r="D96" s="194"/>
    </row>
    <row r="97" spans="1:4">
      <c r="A97" s="192" t="s">
        <v>184</v>
      </c>
      <c r="B97" s="195">
        <f>+B6/100*B21</f>
        <v>1.2880000000000003</v>
      </c>
      <c r="C97" s="194"/>
      <c r="D97" s="194"/>
    </row>
    <row r="98" spans="1:4">
      <c r="A98" s="192" t="s">
        <v>185</v>
      </c>
      <c r="B98" s="195">
        <f>+B7/100*B23</f>
        <v>48.292200000000001</v>
      </c>
      <c r="C98" s="194"/>
      <c r="D98" s="194"/>
    </row>
    <row r="99" spans="1:4">
      <c r="A99" s="192" t="s">
        <v>186</v>
      </c>
      <c r="B99" s="196">
        <f>ROUND((B96/B97), -2)</f>
        <v>809800</v>
      </c>
      <c r="C99" s="108"/>
      <c r="D99" s="108"/>
    </row>
    <row r="100" spans="1:4">
      <c r="A100" s="197" t="s">
        <v>187</v>
      </c>
      <c r="B100" s="198">
        <f>ROUND((B96/B98), -2)</f>
        <v>21600</v>
      </c>
      <c r="C100" s="108"/>
      <c r="D100" s="108"/>
    </row>
  </sheetData>
  <printOptions horizontalCentered="1"/>
  <pageMargins left="0.48" right="0.48" top="0.87" bottom="0.75" header="0" footer="0.5"/>
  <pageSetup paperSize="138" scale="80" orientation="portrait" horizontalDpi="300" verticalDpi="300" r:id="rId1"/>
  <headerFooter alignWithMargins="0">
    <oddFooter>&amp;C&amp;P of 3</oddFooter>
  </headerFooter>
  <rowBreaks count="1" manualBreakCount="1">
    <brk id="59" max="8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6"/>
  <sheetViews>
    <sheetView view="pageBreakPreview" zoomScale="60" zoomScaleNormal="100" workbookViewId="0">
      <selection activeCell="F7" sqref="F7"/>
    </sheetView>
  </sheetViews>
  <sheetFormatPr defaultColWidth="8" defaultRowHeight="13.2"/>
  <cols>
    <col min="1" max="1" width="17.5546875" style="30" customWidth="1"/>
    <col min="2" max="2" width="8.44140625" style="30" customWidth="1"/>
    <col min="3" max="3" width="42.44140625" style="30" customWidth="1"/>
    <col min="4" max="4" width="8.77734375" style="30" customWidth="1"/>
    <col min="5" max="5" width="2.5546875" style="30" customWidth="1"/>
    <col min="6" max="6" width="13.109375" style="199" customWidth="1"/>
    <col min="7" max="7" width="0.33203125" style="30" customWidth="1"/>
    <col min="8" max="16384" width="8" style="30"/>
  </cols>
  <sheetData>
    <row r="1" spans="1:14" ht="13.2" customHeight="1">
      <c r="D1" s="3" t="s">
        <v>190</v>
      </c>
    </row>
    <row r="2" spans="1:14" ht="13.8">
      <c r="D2" s="5" t="s">
        <v>188</v>
      </c>
    </row>
    <row r="3" spans="1:14" ht="13.8">
      <c r="D3" s="200" t="s">
        <v>191</v>
      </c>
    </row>
    <row r="5" spans="1:14">
      <c r="A5" s="201"/>
    </row>
    <row r="6" spans="1:14" s="206" customFormat="1" ht="15" customHeight="1">
      <c r="A6" s="202" t="s">
        <v>0</v>
      </c>
      <c r="B6" s="203"/>
      <c r="C6" s="204" t="s">
        <v>56</v>
      </c>
      <c r="D6" s="205"/>
      <c r="E6" s="205"/>
      <c r="F6" s="205"/>
      <c r="G6" s="205"/>
    </row>
    <row r="7" spans="1:14" s="206" customFormat="1" ht="15.6">
      <c r="A7" s="202" t="s">
        <v>1</v>
      </c>
      <c r="B7" s="203"/>
      <c r="C7" s="207">
        <v>46.728999999999999</v>
      </c>
      <c r="D7" s="205"/>
      <c r="E7" s="205"/>
      <c r="F7" s="205"/>
      <c r="G7" s="205"/>
    </row>
    <row r="8" spans="1:14" s="206" customFormat="1" ht="15.6">
      <c r="A8" s="202" t="s">
        <v>2</v>
      </c>
      <c r="B8" s="203"/>
      <c r="C8" s="208">
        <f>C7*(100/1020)*8760/2000</f>
        <v>20.065982352941177</v>
      </c>
      <c r="D8" s="205"/>
      <c r="E8" s="205"/>
      <c r="G8" s="205"/>
      <c r="N8" s="209"/>
    </row>
    <row r="9" spans="1:14" s="206" customFormat="1" ht="15.6">
      <c r="A9" s="202" t="s">
        <v>3</v>
      </c>
      <c r="B9" s="203"/>
      <c r="C9" s="210">
        <v>7.1999999999999995E-2</v>
      </c>
      <c r="D9" s="205"/>
      <c r="E9" s="205"/>
      <c r="G9" s="205"/>
    </row>
    <row r="10" spans="1:14">
      <c r="A10" s="206" t="s">
        <v>4</v>
      </c>
      <c r="B10" s="211"/>
      <c r="C10" s="212"/>
      <c r="D10" s="212"/>
      <c r="E10" s="212"/>
      <c r="F10" s="213"/>
      <c r="G10" s="212"/>
    </row>
    <row r="11" spans="1:14">
      <c r="A11" s="214"/>
      <c r="B11" s="215"/>
      <c r="C11" s="216"/>
      <c r="D11" s="217"/>
      <c r="E11" s="216"/>
      <c r="F11" s="218"/>
      <c r="G11" s="217"/>
    </row>
    <row r="12" spans="1:14">
      <c r="A12" s="219"/>
      <c r="B12" s="220"/>
      <c r="C12" s="221" t="s">
        <v>5</v>
      </c>
      <c r="D12" s="222"/>
      <c r="E12" s="223"/>
      <c r="F12" s="224" t="s">
        <v>6</v>
      </c>
      <c r="G12" s="222"/>
    </row>
    <row r="13" spans="1:14">
      <c r="A13" s="219"/>
      <c r="B13" s="220"/>
      <c r="C13" s="223"/>
      <c r="D13" s="222"/>
      <c r="E13" s="223"/>
      <c r="F13" s="224"/>
      <c r="G13" s="225"/>
    </row>
    <row r="14" spans="1:14">
      <c r="A14" s="226" t="s">
        <v>7</v>
      </c>
      <c r="B14" s="227"/>
      <c r="C14" s="220"/>
      <c r="D14" s="225"/>
      <c r="E14" s="220"/>
      <c r="F14" s="213"/>
      <c r="G14" s="225"/>
    </row>
    <row r="15" spans="1:14">
      <c r="A15" s="219"/>
      <c r="B15" s="220"/>
      <c r="C15" s="227" t="s">
        <v>8</v>
      </c>
      <c r="D15" s="225"/>
      <c r="E15" s="220"/>
      <c r="F15" s="213"/>
      <c r="G15" s="225"/>
    </row>
    <row r="16" spans="1:14">
      <c r="A16" s="219"/>
      <c r="B16" s="220"/>
      <c r="C16" s="220" t="s">
        <v>9</v>
      </c>
      <c r="D16" s="225"/>
      <c r="E16" s="220"/>
      <c r="F16" s="228"/>
      <c r="G16" s="225"/>
    </row>
    <row r="17" spans="1:10">
      <c r="A17" s="219"/>
      <c r="B17" s="220"/>
      <c r="C17" s="220" t="s">
        <v>10</v>
      </c>
      <c r="D17" s="225"/>
      <c r="E17" s="220"/>
      <c r="F17" s="213"/>
      <c r="G17" s="225"/>
    </row>
    <row r="18" spans="1:10">
      <c r="A18" s="219"/>
      <c r="B18" s="220"/>
      <c r="C18" s="220" t="s">
        <v>11</v>
      </c>
      <c r="D18" s="225"/>
      <c r="E18" s="220"/>
      <c r="F18" s="213"/>
      <c r="G18" s="225"/>
    </row>
    <row r="19" spans="1:10">
      <c r="A19" s="219"/>
      <c r="B19" s="220"/>
      <c r="C19" s="220" t="s">
        <v>12</v>
      </c>
      <c r="D19" s="225"/>
      <c r="E19" s="220"/>
      <c r="F19" s="229"/>
      <c r="G19" s="225"/>
    </row>
    <row r="20" spans="1:10">
      <c r="A20" s="219"/>
      <c r="B20" s="220"/>
      <c r="C20" s="220"/>
      <c r="D20" s="225"/>
      <c r="E20" s="220"/>
      <c r="F20" s="213"/>
      <c r="G20" s="225"/>
    </row>
    <row r="21" spans="1:10">
      <c r="A21" s="219"/>
      <c r="B21" s="220"/>
      <c r="C21" s="230" t="s">
        <v>13</v>
      </c>
      <c r="D21" s="231"/>
      <c r="E21" s="221"/>
      <c r="F21" s="224">
        <f>841*1.0851</f>
        <v>912.56909999999993</v>
      </c>
      <c r="G21" s="225"/>
      <c r="H21" s="30" t="s">
        <v>60</v>
      </c>
      <c r="J21" s="232"/>
    </row>
    <row r="22" spans="1:10">
      <c r="A22" s="219"/>
      <c r="B22" s="220"/>
      <c r="C22" s="220"/>
      <c r="D22" s="225"/>
      <c r="E22" s="220"/>
      <c r="F22" s="213"/>
      <c r="G22" s="225"/>
    </row>
    <row r="23" spans="1:10">
      <c r="A23" s="219"/>
      <c r="B23" s="220"/>
      <c r="C23" s="227" t="s">
        <v>14</v>
      </c>
      <c r="D23" s="225"/>
      <c r="E23" s="220"/>
      <c r="F23" s="213"/>
      <c r="G23" s="225"/>
    </row>
    <row r="24" spans="1:10" ht="26.4">
      <c r="A24" s="219"/>
      <c r="B24" s="220"/>
      <c r="C24" s="233" t="s">
        <v>15</v>
      </c>
      <c r="D24" s="225"/>
      <c r="E24" s="220"/>
      <c r="F24" s="213"/>
      <c r="G24" s="225"/>
    </row>
    <row r="25" spans="1:10">
      <c r="A25" s="219"/>
      <c r="B25" s="220"/>
      <c r="C25" s="220" t="s">
        <v>16</v>
      </c>
      <c r="D25" s="225"/>
      <c r="E25" s="220"/>
      <c r="F25" s="229"/>
      <c r="G25" s="225"/>
    </row>
    <row r="26" spans="1:10">
      <c r="A26" s="219"/>
      <c r="B26" s="220"/>
      <c r="C26" s="230" t="s">
        <v>17</v>
      </c>
      <c r="D26" s="231"/>
      <c r="E26" s="221"/>
      <c r="F26" s="224">
        <f>198*1.0851</f>
        <v>214.84979999999999</v>
      </c>
      <c r="G26" s="225"/>
      <c r="H26" s="30" t="s">
        <v>60</v>
      </c>
      <c r="J26" s="232"/>
    </row>
    <row r="27" spans="1:10">
      <c r="A27" s="219"/>
      <c r="B27" s="220"/>
      <c r="C27" s="220"/>
      <c r="D27" s="225"/>
      <c r="E27" s="220"/>
      <c r="F27" s="213"/>
      <c r="G27" s="225"/>
    </row>
    <row r="28" spans="1:10">
      <c r="A28" s="226" t="s">
        <v>18</v>
      </c>
      <c r="B28" s="227"/>
      <c r="C28" s="220"/>
      <c r="D28" s="225"/>
      <c r="E28" s="220"/>
      <c r="F28" s="224"/>
      <c r="G28" s="225"/>
    </row>
    <row r="29" spans="1:10">
      <c r="A29" s="226"/>
      <c r="B29" s="227"/>
      <c r="C29" s="220"/>
      <c r="D29" s="225"/>
      <c r="E29" s="220"/>
      <c r="F29" s="213"/>
      <c r="G29" s="225"/>
    </row>
    <row r="30" spans="1:10">
      <c r="A30" s="226" t="s">
        <v>19</v>
      </c>
      <c r="B30" s="227"/>
      <c r="C30" s="220"/>
      <c r="D30" s="225"/>
      <c r="E30" s="220"/>
      <c r="F30" s="213"/>
      <c r="G30" s="225"/>
    </row>
    <row r="31" spans="1:10">
      <c r="A31" s="219"/>
      <c r="B31" s="220"/>
      <c r="C31" s="220" t="s">
        <v>20</v>
      </c>
      <c r="D31" s="225"/>
      <c r="E31" s="220"/>
      <c r="F31" s="213"/>
      <c r="G31" s="225"/>
    </row>
    <row r="32" spans="1:10">
      <c r="A32" s="219"/>
      <c r="B32" s="220"/>
      <c r="C32" s="220" t="s">
        <v>21</v>
      </c>
      <c r="D32" s="225"/>
      <c r="E32" s="220"/>
      <c r="F32" s="213"/>
      <c r="G32" s="225"/>
    </row>
    <row r="33" spans="1:7">
      <c r="A33" s="219"/>
      <c r="B33" s="220"/>
      <c r="C33" s="220" t="s">
        <v>22</v>
      </c>
      <c r="D33" s="225"/>
      <c r="E33" s="220"/>
      <c r="F33" s="213"/>
      <c r="G33" s="225"/>
    </row>
    <row r="34" spans="1:7">
      <c r="A34" s="219"/>
      <c r="B34" s="220"/>
      <c r="C34" s="220" t="s">
        <v>23</v>
      </c>
      <c r="D34" s="225"/>
      <c r="E34" s="220"/>
      <c r="F34" s="213"/>
      <c r="G34" s="225"/>
    </row>
    <row r="35" spans="1:7">
      <c r="A35" s="219"/>
      <c r="B35" s="220"/>
      <c r="C35" s="220" t="s">
        <v>24</v>
      </c>
      <c r="D35" s="225"/>
      <c r="E35" s="220"/>
      <c r="F35" s="229"/>
      <c r="G35" s="225"/>
    </row>
    <row r="36" spans="1:7">
      <c r="A36" s="219"/>
      <c r="B36" s="220"/>
      <c r="C36" s="220"/>
      <c r="D36" s="225"/>
      <c r="E36" s="220"/>
      <c r="F36" s="213"/>
      <c r="G36" s="225"/>
    </row>
    <row r="37" spans="1:7">
      <c r="A37" s="226" t="s">
        <v>25</v>
      </c>
      <c r="B37" s="227"/>
      <c r="C37" s="220"/>
      <c r="D37" s="225"/>
      <c r="E37" s="220"/>
      <c r="F37" s="224">
        <f>SUM(F31:F35)</f>
        <v>0</v>
      </c>
      <c r="G37" s="225"/>
    </row>
    <row r="38" spans="1:7">
      <c r="A38" s="226"/>
      <c r="B38" s="227"/>
      <c r="C38" s="220"/>
      <c r="D38" s="225"/>
      <c r="E38" s="220"/>
      <c r="F38" s="224"/>
      <c r="G38" s="225"/>
    </row>
    <row r="39" spans="1:7">
      <c r="A39" s="219"/>
      <c r="B39" s="220"/>
      <c r="C39" s="220"/>
      <c r="D39" s="225"/>
      <c r="E39" s="220"/>
      <c r="F39" s="213"/>
      <c r="G39" s="225"/>
    </row>
    <row r="40" spans="1:7" ht="15.6">
      <c r="A40" s="234" t="s">
        <v>26</v>
      </c>
      <c r="B40" s="235"/>
      <c r="C40" s="236"/>
      <c r="D40" s="237"/>
      <c r="E40" s="236"/>
      <c r="F40" s="238">
        <f>F21+F26+F37</f>
        <v>1127.4188999999999</v>
      </c>
      <c r="G40" s="237"/>
    </row>
    <row r="41" spans="1:7">
      <c r="A41" s="214"/>
      <c r="B41" s="216"/>
      <c r="C41" s="215"/>
      <c r="D41" s="239"/>
      <c r="E41" s="215"/>
      <c r="F41" s="218"/>
      <c r="G41" s="217"/>
    </row>
    <row r="42" spans="1:7">
      <c r="A42" s="219"/>
      <c r="B42" s="223" t="s">
        <v>27</v>
      </c>
      <c r="C42" s="221" t="s">
        <v>5</v>
      </c>
      <c r="D42" s="222"/>
      <c r="E42" s="223"/>
      <c r="F42" s="224" t="s">
        <v>6</v>
      </c>
      <c r="G42" s="222"/>
    </row>
    <row r="43" spans="1:7">
      <c r="A43" s="240"/>
      <c r="B43" s="220"/>
      <c r="C43" s="220"/>
      <c r="D43" s="220"/>
      <c r="E43" s="219"/>
      <c r="F43" s="213"/>
      <c r="G43" s="241"/>
    </row>
    <row r="44" spans="1:7">
      <c r="A44" s="226" t="s">
        <v>28</v>
      </c>
      <c r="B44" s="220"/>
      <c r="C44" s="220"/>
      <c r="D44" s="220"/>
      <c r="E44" s="219"/>
      <c r="F44" s="213"/>
      <c r="G44" s="241"/>
    </row>
    <row r="45" spans="1:7">
      <c r="A45" s="219"/>
      <c r="B45" s="227" t="s">
        <v>29</v>
      </c>
      <c r="D45" s="220"/>
      <c r="E45" s="219"/>
      <c r="F45" s="213"/>
      <c r="G45" s="241"/>
    </row>
    <row r="46" spans="1:7" s="247" customFormat="1">
      <c r="A46" s="242"/>
      <c r="B46" s="243"/>
      <c r="C46" s="244" t="s">
        <v>30</v>
      </c>
      <c r="D46" s="244"/>
      <c r="E46" s="245"/>
      <c r="F46" s="228">
        <v>0</v>
      </c>
      <c r="G46" s="246"/>
    </row>
    <row r="47" spans="1:7" s="247" customFormat="1">
      <c r="A47" s="242"/>
      <c r="B47" s="243"/>
      <c r="C47" s="244" t="s">
        <v>31</v>
      </c>
      <c r="D47" s="244"/>
      <c r="E47" s="245"/>
      <c r="F47" s="228">
        <v>0</v>
      </c>
      <c r="G47" s="246"/>
    </row>
    <row r="48" spans="1:7" s="250" customFormat="1">
      <c r="A48" s="245"/>
      <c r="B48" s="244"/>
      <c r="C48" s="244" t="s">
        <v>32</v>
      </c>
      <c r="D48" s="244"/>
      <c r="E48" s="245"/>
      <c r="F48" s="248"/>
      <c r="G48" s="249"/>
    </row>
    <row r="49" spans="1:7" s="250" customFormat="1">
      <c r="A49" s="245"/>
      <c r="D49" s="251"/>
      <c r="F49" s="252"/>
      <c r="G49" s="249"/>
    </row>
    <row r="50" spans="1:7" s="250" customFormat="1">
      <c r="A50" s="245"/>
      <c r="B50" s="253" t="s">
        <v>33</v>
      </c>
      <c r="C50" s="254"/>
      <c r="D50" s="255"/>
      <c r="E50" s="256"/>
      <c r="F50" s="257">
        <f>F46+F47+F48</f>
        <v>0</v>
      </c>
      <c r="G50" s="249"/>
    </row>
    <row r="51" spans="1:7" s="250" customFormat="1">
      <c r="A51" s="245"/>
      <c r="D51" s="244"/>
      <c r="E51" s="245"/>
      <c r="F51" s="228"/>
      <c r="G51" s="249"/>
    </row>
    <row r="52" spans="1:7" s="250" customFormat="1">
      <c r="A52" s="245"/>
      <c r="B52" s="258" t="s">
        <v>34</v>
      </c>
      <c r="D52" s="244"/>
      <c r="E52" s="245"/>
      <c r="F52" s="228"/>
      <c r="G52" s="249"/>
    </row>
    <row r="53" spans="1:7" s="250" customFormat="1">
      <c r="A53" s="245"/>
      <c r="B53" s="244"/>
      <c r="C53" s="244"/>
      <c r="D53" s="244"/>
      <c r="E53" s="245"/>
      <c r="F53" s="228"/>
      <c r="G53" s="249"/>
    </row>
    <row r="54" spans="1:7" s="250" customFormat="1">
      <c r="A54" s="245"/>
      <c r="B54" s="244"/>
      <c r="C54" s="244"/>
      <c r="D54" s="244"/>
      <c r="E54" s="245"/>
      <c r="F54" s="248"/>
      <c r="G54" s="249"/>
    </row>
    <row r="55" spans="1:7">
      <c r="A55" s="226"/>
      <c r="B55" s="220"/>
      <c r="C55" s="220"/>
      <c r="D55" s="220"/>
      <c r="E55" s="219"/>
      <c r="F55" s="213"/>
      <c r="G55" s="241"/>
    </row>
    <row r="56" spans="1:7">
      <c r="A56" s="226"/>
      <c r="B56" s="230" t="s">
        <v>35</v>
      </c>
      <c r="C56" s="201"/>
      <c r="D56" s="259"/>
      <c r="E56" s="240"/>
      <c r="F56" s="224">
        <f>SUM(F53:F54)</f>
        <v>0</v>
      </c>
      <c r="G56" s="241"/>
    </row>
    <row r="57" spans="1:7">
      <c r="A57" s="226"/>
      <c r="B57" s="220"/>
      <c r="C57" s="220"/>
      <c r="D57" s="220"/>
      <c r="E57" s="219"/>
      <c r="F57" s="213"/>
      <c r="G57" s="241"/>
    </row>
    <row r="58" spans="1:7" ht="16.5" customHeight="1">
      <c r="A58" s="234" t="s">
        <v>36</v>
      </c>
      <c r="B58" s="236"/>
      <c r="C58" s="236"/>
      <c r="D58" s="260"/>
      <c r="E58" s="261"/>
      <c r="F58" s="238">
        <f>F50+F56</f>
        <v>0</v>
      </c>
      <c r="G58" s="262"/>
    </row>
    <row r="59" spans="1:7" ht="13.8">
      <c r="A59" s="263"/>
      <c r="B59" s="215"/>
      <c r="C59" s="215"/>
      <c r="D59" s="215"/>
      <c r="E59" s="215"/>
      <c r="F59" s="264"/>
      <c r="G59" s="265"/>
    </row>
    <row r="60" spans="1:7">
      <c r="A60" s="214"/>
      <c r="B60" s="215"/>
      <c r="C60" s="216"/>
      <c r="D60" s="217"/>
      <c r="E60" s="216"/>
      <c r="F60" s="218"/>
      <c r="G60" s="217"/>
    </row>
    <row r="61" spans="1:7">
      <c r="A61" s="219"/>
      <c r="B61" s="220"/>
      <c r="C61" s="221" t="s">
        <v>5</v>
      </c>
      <c r="D61" s="222"/>
      <c r="E61" s="223"/>
      <c r="F61" s="224" t="s">
        <v>6</v>
      </c>
      <c r="G61" s="222"/>
    </row>
    <row r="62" spans="1:7">
      <c r="A62" s="266"/>
      <c r="B62" s="267"/>
      <c r="C62" s="268"/>
      <c r="D62" s="269"/>
      <c r="E62" s="268"/>
      <c r="F62" s="270"/>
      <c r="G62" s="271"/>
    </row>
    <row r="63" spans="1:7">
      <c r="A63" s="214"/>
      <c r="B63" s="215"/>
      <c r="C63" s="216"/>
      <c r="D63" s="217"/>
      <c r="E63" s="216"/>
      <c r="F63" s="218"/>
      <c r="G63" s="272"/>
    </row>
    <row r="64" spans="1:7">
      <c r="A64" s="240"/>
      <c r="B64" s="220"/>
      <c r="C64" s="220"/>
      <c r="D64" s="225"/>
      <c r="E64" s="220"/>
      <c r="F64" s="213"/>
      <c r="G64" s="241"/>
    </row>
    <row r="65" spans="1:7">
      <c r="A65" s="226" t="s">
        <v>37</v>
      </c>
      <c r="B65" s="220"/>
      <c r="C65" s="220"/>
      <c r="D65" s="225"/>
      <c r="E65" s="220"/>
      <c r="F65" s="213"/>
      <c r="G65" s="241"/>
    </row>
    <row r="66" spans="1:7">
      <c r="A66" s="219"/>
      <c r="B66" s="220"/>
      <c r="C66" s="220" t="s">
        <v>38</v>
      </c>
      <c r="D66" s="225"/>
      <c r="E66" s="220"/>
      <c r="F66" s="213">
        <v>0</v>
      </c>
      <c r="G66" s="241"/>
    </row>
    <row r="67" spans="1:7">
      <c r="A67" s="219"/>
      <c r="B67" s="220"/>
      <c r="C67" s="220" t="s">
        <v>39</v>
      </c>
      <c r="D67" s="225"/>
      <c r="E67" s="220"/>
      <c r="F67" s="213">
        <v>0</v>
      </c>
      <c r="G67" s="241"/>
    </row>
    <row r="68" spans="1:7">
      <c r="A68" s="219"/>
      <c r="B68" s="220"/>
      <c r="C68" s="220" t="s">
        <v>40</v>
      </c>
      <c r="D68" s="225"/>
      <c r="E68" s="220"/>
      <c r="F68" s="213">
        <v>0</v>
      </c>
      <c r="G68" s="241"/>
    </row>
    <row r="69" spans="1:7">
      <c r="A69" s="219"/>
      <c r="B69" s="220"/>
      <c r="C69" s="220" t="s">
        <v>41</v>
      </c>
      <c r="D69" s="225"/>
      <c r="E69" s="220"/>
      <c r="F69" s="229">
        <v>0</v>
      </c>
      <c r="G69" s="241"/>
    </row>
    <row r="70" spans="1:7">
      <c r="A70" s="219"/>
      <c r="B70" s="220"/>
      <c r="C70" s="220"/>
      <c r="D70" s="225"/>
      <c r="E70" s="220"/>
      <c r="F70" s="213"/>
      <c r="G70" s="241"/>
    </row>
    <row r="71" spans="1:7">
      <c r="A71" s="226" t="s">
        <v>25</v>
      </c>
      <c r="B71" s="220"/>
      <c r="C71" s="220"/>
      <c r="D71" s="225"/>
      <c r="E71" s="220"/>
      <c r="F71" s="213">
        <f>SUM(F66:F69)</f>
        <v>0</v>
      </c>
      <c r="G71" s="241"/>
    </row>
    <row r="72" spans="1:7">
      <c r="A72" s="219"/>
      <c r="B72" s="220"/>
      <c r="C72" s="220"/>
      <c r="D72" s="225"/>
      <c r="E72" s="220"/>
      <c r="F72" s="213"/>
      <c r="G72" s="241"/>
    </row>
    <row r="73" spans="1:7">
      <c r="A73" s="273" t="s">
        <v>42</v>
      </c>
      <c r="B73" s="221"/>
      <c r="C73" s="221"/>
      <c r="D73" s="231"/>
      <c r="E73" s="221"/>
      <c r="F73" s="224">
        <f>+F71+F58</f>
        <v>0</v>
      </c>
      <c r="G73" s="241"/>
    </row>
    <row r="74" spans="1:7">
      <c r="A74" s="226"/>
      <c r="B74" s="220"/>
      <c r="C74" s="220"/>
      <c r="D74" s="225"/>
      <c r="E74" s="220"/>
      <c r="F74" s="213"/>
      <c r="G74" s="241"/>
    </row>
    <row r="75" spans="1:7">
      <c r="A75" s="226" t="s">
        <v>43</v>
      </c>
      <c r="B75" s="220"/>
      <c r="C75" s="220"/>
      <c r="D75" s="225"/>
      <c r="E75" s="220"/>
      <c r="G75" s="241"/>
    </row>
    <row r="76" spans="1:7">
      <c r="A76" s="226"/>
      <c r="B76" s="220"/>
      <c r="C76" s="274" t="s">
        <v>44</v>
      </c>
      <c r="D76" s="225">
        <v>10</v>
      </c>
      <c r="E76" s="220"/>
      <c r="F76" s="213"/>
      <c r="G76" s="241"/>
    </row>
    <row r="77" spans="1:7">
      <c r="A77" s="226"/>
      <c r="B77" s="220"/>
      <c r="C77" s="274" t="s">
        <v>45</v>
      </c>
      <c r="D77" s="225">
        <v>7</v>
      </c>
      <c r="E77" s="220"/>
      <c r="F77" s="213"/>
      <c r="G77" s="241"/>
    </row>
    <row r="78" spans="1:7">
      <c r="A78" s="226"/>
      <c r="B78" s="220"/>
      <c r="C78" s="220" t="s">
        <v>46</v>
      </c>
      <c r="D78" s="225"/>
      <c r="E78" s="220"/>
      <c r="F78" s="275">
        <f>(D77/100*(1+D77/100)^D76/((1+D77/100)^D76-1))</f>
        <v>0.14237750272736471</v>
      </c>
      <c r="G78" s="241"/>
    </row>
    <row r="79" spans="1:7">
      <c r="A79" s="226"/>
      <c r="B79" s="220"/>
      <c r="C79" s="220"/>
      <c r="D79" s="225"/>
      <c r="E79" s="220"/>
      <c r="F79" s="213"/>
      <c r="G79" s="241"/>
    </row>
    <row r="80" spans="1:7">
      <c r="A80" s="226" t="s">
        <v>47</v>
      </c>
      <c r="B80" s="220"/>
      <c r="C80" s="220"/>
      <c r="D80" s="225"/>
      <c r="E80" s="220"/>
      <c r="F80" s="213"/>
      <c r="G80" s="241"/>
    </row>
    <row r="81" spans="1:7">
      <c r="A81" s="226"/>
      <c r="B81" s="220"/>
      <c r="C81" s="227" t="s">
        <v>48</v>
      </c>
      <c r="D81" s="225"/>
      <c r="E81" s="220"/>
      <c r="F81" s="213">
        <f>F40</f>
        <v>1127.4188999999999</v>
      </c>
      <c r="G81" s="241"/>
    </row>
    <row r="82" spans="1:7">
      <c r="A82" s="226"/>
      <c r="B82" s="220"/>
      <c r="C82" s="230"/>
      <c r="D82" s="231"/>
      <c r="E82" s="221"/>
      <c r="F82" s="224"/>
      <c r="G82" s="241"/>
    </row>
    <row r="83" spans="1:7">
      <c r="A83" s="226"/>
      <c r="B83" s="220"/>
      <c r="C83" s="230" t="s">
        <v>49</v>
      </c>
      <c r="D83" s="231"/>
      <c r="E83" s="221"/>
      <c r="F83" s="224">
        <f>F81*F78</f>
        <v>160.5190875096325</v>
      </c>
      <c r="G83" s="241"/>
    </row>
    <row r="84" spans="1:7" ht="13.8" thickBot="1">
      <c r="A84" s="226"/>
      <c r="B84" s="220"/>
      <c r="C84" s="220"/>
      <c r="D84" s="225"/>
      <c r="E84" s="220"/>
      <c r="F84" s="213"/>
      <c r="G84" s="241"/>
    </row>
    <row r="85" spans="1:7">
      <c r="A85" s="276"/>
      <c r="B85" s="277"/>
      <c r="C85" s="277"/>
      <c r="D85" s="278"/>
      <c r="E85" s="277"/>
      <c r="F85" s="279"/>
      <c r="G85" s="280"/>
    </row>
    <row r="86" spans="1:7">
      <c r="A86" s="273" t="s">
        <v>50</v>
      </c>
      <c r="B86" s="220"/>
      <c r="C86" s="220"/>
      <c r="D86" s="225"/>
      <c r="E86" s="220"/>
      <c r="F86" s="224">
        <f>F73+F83</f>
        <v>160.5190875096325</v>
      </c>
      <c r="G86" s="241"/>
    </row>
    <row r="87" spans="1:7">
      <c r="A87" s="273" t="s">
        <v>51</v>
      </c>
      <c r="B87" s="220"/>
      <c r="C87" s="220"/>
      <c r="D87" s="225"/>
      <c r="E87" s="220"/>
      <c r="F87" s="224"/>
      <c r="G87" s="241"/>
    </row>
    <row r="88" spans="1:7">
      <c r="A88" s="273"/>
      <c r="B88" s="220"/>
      <c r="C88" s="220"/>
      <c r="D88" s="225"/>
      <c r="E88" s="220"/>
      <c r="F88" s="224"/>
      <c r="G88" s="241"/>
    </row>
    <row r="89" spans="1:7" s="247" customFormat="1">
      <c r="A89" s="281" t="s">
        <v>52</v>
      </c>
      <c r="B89" s="243"/>
      <c r="C89" s="243"/>
      <c r="D89" s="282"/>
      <c r="E89" s="243"/>
      <c r="F89" s="257">
        <f>C8*C9</f>
        <v>1.4447507294117645</v>
      </c>
      <c r="G89" s="246"/>
    </row>
    <row r="90" spans="1:7" ht="13.8" thickBot="1">
      <c r="A90" s="219"/>
      <c r="B90" s="227"/>
      <c r="C90" s="220"/>
      <c r="D90" s="225"/>
      <c r="E90" s="220"/>
      <c r="F90" s="224"/>
      <c r="G90" s="241"/>
    </row>
    <row r="91" spans="1:7">
      <c r="A91" s="283" t="s">
        <v>53</v>
      </c>
      <c r="B91" s="277"/>
      <c r="C91" s="277"/>
      <c r="D91" s="278"/>
      <c r="E91" s="277"/>
      <c r="F91" s="284"/>
      <c r="G91" s="280"/>
    </row>
    <row r="92" spans="1:7">
      <c r="A92" s="273"/>
      <c r="B92" s="220"/>
      <c r="C92" s="221" t="s">
        <v>54</v>
      </c>
      <c r="D92" s="231"/>
      <c r="E92" s="221"/>
      <c r="F92" s="224"/>
      <c r="G92" s="241"/>
    </row>
    <row r="93" spans="1:7" ht="13.8" thickBot="1">
      <c r="A93" s="285"/>
      <c r="B93" s="286"/>
      <c r="C93" s="287" t="s">
        <v>55</v>
      </c>
      <c r="D93" s="288"/>
      <c r="E93" s="287"/>
      <c r="F93" s="289">
        <f>ROUND(F86*1000/F89,)</f>
        <v>111105</v>
      </c>
      <c r="G93" s="241"/>
    </row>
    <row r="94" spans="1:7" ht="13.8">
      <c r="A94" s="263"/>
    </row>
    <row r="95" spans="1:7">
      <c r="A95" s="30" t="s">
        <v>61</v>
      </c>
    </row>
    <row r="96" spans="1:7" ht="15.6">
      <c r="A96" s="290" t="s">
        <v>193</v>
      </c>
    </row>
  </sheetData>
  <pageMargins left="0.5" right="0.25" top="0.5" bottom="0.25" header="0.3" footer="0.3"/>
  <pageSetup paperSize="17" scale="9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6"/>
  <sheetViews>
    <sheetView tabSelected="1" view="pageBreakPreview" topLeftCell="A73" zoomScaleNormal="100" zoomScaleSheetLayoutView="100" workbookViewId="0">
      <selection activeCell="F17" sqref="F17"/>
    </sheetView>
  </sheetViews>
  <sheetFormatPr defaultColWidth="8" defaultRowHeight="13.2"/>
  <cols>
    <col min="1" max="1" width="19.109375" style="30" customWidth="1"/>
    <col min="2" max="2" width="4.88671875" style="30" customWidth="1"/>
    <col min="3" max="3" width="46.5546875" style="30" customWidth="1"/>
    <col min="4" max="4" width="8.6640625" style="30" customWidth="1"/>
    <col min="5" max="5" width="2.5546875" style="30" customWidth="1"/>
    <col min="6" max="6" width="13.109375" style="199" customWidth="1"/>
    <col min="7" max="7" width="2.44140625" style="30" customWidth="1"/>
    <col min="8" max="16384" width="8" style="30"/>
  </cols>
  <sheetData>
    <row r="1" spans="1:20" ht="13.8">
      <c r="D1" s="3" t="s">
        <v>190</v>
      </c>
    </row>
    <row r="2" spans="1:20" ht="13.8">
      <c r="D2" s="5" t="s">
        <v>188</v>
      </c>
    </row>
    <row r="3" spans="1:20" ht="13.8">
      <c r="D3" s="200" t="s">
        <v>192</v>
      </c>
    </row>
    <row r="5" spans="1:20">
      <c r="A5" s="201"/>
    </row>
    <row r="6" spans="1:20" s="206" customFormat="1" ht="15" customHeight="1">
      <c r="A6" s="202" t="s">
        <v>0</v>
      </c>
      <c r="B6" s="203"/>
      <c r="C6" s="204" t="s">
        <v>57</v>
      </c>
      <c r="D6" s="205"/>
      <c r="E6" s="205"/>
      <c r="F6" s="205"/>
      <c r="G6" s="205"/>
    </row>
    <row r="7" spans="1:20" s="206" customFormat="1" ht="15.6">
      <c r="A7" s="202" t="s">
        <v>1</v>
      </c>
      <c r="B7" s="203"/>
      <c r="C7" s="207">
        <v>55.442999999999998</v>
      </c>
      <c r="D7" s="205"/>
      <c r="E7" s="205"/>
      <c r="F7" s="205"/>
      <c r="G7" s="205"/>
    </row>
    <row r="8" spans="1:20" s="206" customFormat="1" ht="15.6">
      <c r="A8" s="202" t="s">
        <v>2</v>
      </c>
      <c r="B8" s="203"/>
      <c r="C8" s="291">
        <f>C7*0.041*8760/2000</f>
        <v>9.9564539399999994</v>
      </c>
      <c r="D8" s="205"/>
      <c r="E8" s="205"/>
      <c r="F8" s="205"/>
      <c r="G8" s="205"/>
      <c r="Q8" s="232"/>
      <c r="R8" s="30"/>
      <c r="S8" s="30"/>
      <c r="T8" s="30"/>
    </row>
    <row r="9" spans="1:20" s="206" customFormat="1" ht="15.6">
      <c r="A9" s="202" t="s">
        <v>3</v>
      </c>
      <c r="B9" s="203"/>
      <c r="C9" s="210">
        <v>0.76</v>
      </c>
      <c r="D9" s="205"/>
      <c r="E9" s="205"/>
      <c r="F9" s="205"/>
      <c r="G9" s="205"/>
      <c r="H9" s="209"/>
      <c r="Q9" s="232"/>
      <c r="R9" s="30"/>
      <c r="S9" s="30"/>
      <c r="T9" s="30"/>
    </row>
    <row r="10" spans="1:20" ht="13.8" thickBot="1">
      <c r="A10" s="292" t="s">
        <v>4</v>
      </c>
      <c r="B10" s="293"/>
      <c r="C10" s="294"/>
      <c r="D10" s="294"/>
      <c r="E10" s="294"/>
      <c r="F10" s="295"/>
      <c r="G10" s="294"/>
    </row>
    <row r="11" spans="1:20">
      <c r="A11" s="219"/>
      <c r="B11" s="220"/>
      <c r="C11" s="221" t="s">
        <v>5</v>
      </c>
      <c r="D11" s="222"/>
      <c r="E11" s="223"/>
      <c r="F11" s="224" t="s">
        <v>6</v>
      </c>
      <c r="G11" s="222"/>
    </row>
    <row r="12" spans="1:20">
      <c r="A12" s="266"/>
      <c r="B12" s="267"/>
      <c r="C12" s="268"/>
      <c r="D12" s="269"/>
      <c r="E12" s="268"/>
      <c r="F12" s="270"/>
      <c r="G12" s="271"/>
    </row>
    <row r="13" spans="1:20">
      <c r="A13" s="219"/>
      <c r="B13" s="220"/>
      <c r="C13" s="223"/>
      <c r="D13" s="222"/>
      <c r="E13" s="223"/>
      <c r="F13" s="224"/>
      <c r="G13" s="225"/>
    </row>
    <row r="14" spans="1:20">
      <c r="A14" s="226" t="s">
        <v>7</v>
      </c>
      <c r="B14" s="227"/>
      <c r="C14" s="220"/>
      <c r="D14" s="225"/>
      <c r="E14" s="220"/>
      <c r="F14" s="213"/>
      <c r="G14" s="225"/>
    </row>
    <row r="15" spans="1:20">
      <c r="A15" s="219"/>
      <c r="B15" s="220"/>
      <c r="C15" s="227" t="s">
        <v>8</v>
      </c>
      <c r="D15" s="225"/>
      <c r="E15" s="220"/>
      <c r="F15" s="213"/>
      <c r="G15" s="225"/>
    </row>
    <row r="16" spans="1:20">
      <c r="A16" s="219"/>
      <c r="B16" s="220"/>
      <c r="C16" s="220" t="s">
        <v>9</v>
      </c>
      <c r="D16" s="225"/>
      <c r="E16" s="220"/>
      <c r="F16" s="228"/>
      <c r="G16" s="225"/>
    </row>
    <row r="17" spans="1:10">
      <c r="A17" s="219"/>
      <c r="B17" s="220"/>
      <c r="C17" s="220" t="s">
        <v>10</v>
      </c>
      <c r="D17" s="225"/>
      <c r="E17" s="220"/>
      <c r="F17" s="213"/>
      <c r="G17" s="225"/>
    </row>
    <row r="18" spans="1:10">
      <c r="A18" s="219"/>
      <c r="B18" s="220"/>
      <c r="C18" s="220" t="s">
        <v>11</v>
      </c>
      <c r="D18" s="225"/>
      <c r="E18" s="220"/>
      <c r="F18" s="213"/>
      <c r="G18" s="225"/>
    </row>
    <row r="19" spans="1:10">
      <c r="A19" s="219"/>
      <c r="B19" s="220"/>
      <c r="C19" s="220" t="s">
        <v>12</v>
      </c>
      <c r="D19" s="225"/>
      <c r="E19" s="220"/>
      <c r="F19" s="229"/>
      <c r="G19" s="225"/>
    </row>
    <row r="20" spans="1:10">
      <c r="A20" s="219"/>
      <c r="B20" s="220"/>
      <c r="C20" s="220"/>
      <c r="D20" s="225"/>
      <c r="E20" s="220"/>
      <c r="F20" s="213"/>
      <c r="G20" s="225"/>
    </row>
    <row r="21" spans="1:10">
      <c r="A21" s="219"/>
      <c r="B21" s="220"/>
      <c r="C21" s="230" t="s">
        <v>13</v>
      </c>
      <c r="D21" s="231"/>
      <c r="E21" s="221"/>
      <c r="F21" s="224">
        <f>452*1.0851</f>
        <v>490.46519999999998</v>
      </c>
      <c r="G21" s="225"/>
      <c r="H21" s="30" t="s">
        <v>60</v>
      </c>
      <c r="J21" s="232"/>
    </row>
    <row r="22" spans="1:10">
      <c r="A22" s="219"/>
      <c r="B22" s="220"/>
      <c r="C22" s="220"/>
      <c r="D22" s="225"/>
      <c r="E22" s="220"/>
      <c r="F22" s="213"/>
      <c r="G22" s="225"/>
    </row>
    <row r="23" spans="1:10">
      <c r="A23" s="219"/>
      <c r="B23" s="220"/>
      <c r="C23" s="227" t="s">
        <v>14</v>
      </c>
      <c r="D23" s="225"/>
      <c r="E23" s="220"/>
      <c r="F23" s="213"/>
      <c r="G23" s="225"/>
    </row>
    <row r="24" spans="1:10" ht="26.4">
      <c r="A24" s="219"/>
      <c r="B24" s="220"/>
      <c r="C24" s="233" t="s">
        <v>15</v>
      </c>
      <c r="D24" s="225"/>
      <c r="E24" s="220"/>
      <c r="F24" s="213"/>
      <c r="G24" s="225"/>
    </row>
    <row r="25" spans="1:10">
      <c r="A25" s="219"/>
      <c r="B25" s="220"/>
      <c r="C25" s="220" t="s">
        <v>16</v>
      </c>
      <c r="D25" s="225"/>
      <c r="E25" s="220"/>
      <c r="F25" s="229"/>
      <c r="G25" s="225"/>
    </row>
    <row r="26" spans="1:10">
      <c r="A26" s="219"/>
      <c r="B26" s="220"/>
      <c r="C26" s="230" t="s">
        <v>17</v>
      </c>
      <c r="D26" s="231"/>
      <c r="E26" s="221"/>
      <c r="F26" s="224">
        <f>SUM(F24:F25)</f>
        <v>0</v>
      </c>
      <c r="G26" s="225"/>
    </row>
    <row r="27" spans="1:10">
      <c r="A27" s="219"/>
      <c r="B27" s="220"/>
      <c r="C27" s="220"/>
      <c r="D27" s="225"/>
      <c r="E27" s="220"/>
      <c r="F27" s="213"/>
      <c r="G27" s="225"/>
    </row>
    <row r="28" spans="1:10">
      <c r="A28" s="226" t="s">
        <v>18</v>
      </c>
      <c r="B28" s="227"/>
      <c r="C28" s="220"/>
      <c r="D28" s="225"/>
      <c r="E28" s="220"/>
      <c r="F28" s="224"/>
      <c r="G28" s="225"/>
    </row>
    <row r="29" spans="1:10">
      <c r="A29" s="226"/>
      <c r="B29" s="227"/>
      <c r="C29" s="220"/>
      <c r="D29" s="225"/>
      <c r="E29" s="220"/>
      <c r="F29" s="213"/>
      <c r="G29" s="225"/>
    </row>
    <row r="30" spans="1:10">
      <c r="A30" s="226" t="s">
        <v>19</v>
      </c>
      <c r="B30" s="227"/>
      <c r="C30" s="220"/>
      <c r="D30" s="225"/>
      <c r="E30" s="220"/>
      <c r="F30" s="213"/>
      <c r="G30" s="225"/>
    </row>
    <row r="31" spans="1:10">
      <c r="A31" s="219"/>
      <c r="B31" s="220"/>
      <c r="C31" s="220" t="s">
        <v>20</v>
      </c>
      <c r="D31" s="225"/>
      <c r="E31" s="220"/>
      <c r="F31" s="213"/>
      <c r="G31" s="225"/>
    </row>
    <row r="32" spans="1:10">
      <c r="A32" s="219"/>
      <c r="B32" s="220"/>
      <c r="C32" s="220" t="s">
        <v>21</v>
      </c>
      <c r="D32" s="225"/>
      <c r="E32" s="220"/>
      <c r="F32" s="213"/>
      <c r="G32" s="225"/>
    </row>
    <row r="33" spans="1:7">
      <c r="A33" s="219"/>
      <c r="B33" s="220"/>
      <c r="C33" s="220" t="s">
        <v>22</v>
      </c>
      <c r="D33" s="225"/>
      <c r="E33" s="220"/>
      <c r="F33" s="213"/>
      <c r="G33" s="225"/>
    </row>
    <row r="34" spans="1:7">
      <c r="A34" s="219"/>
      <c r="B34" s="220"/>
      <c r="C34" s="220" t="s">
        <v>23</v>
      </c>
      <c r="D34" s="225"/>
      <c r="E34" s="220"/>
      <c r="F34" s="213"/>
      <c r="G34" s="225"/>
    </row>
    <row r="35" spans="1:7">
      <c r="A35" s="219"/>
      <c r="B35" s="220"/>
      <c r="C35" s="220" t="s">
        <v>24</v>
      </c>
      <c r="D35" s="225"/>
      <c r="E35" s="220"/>
      <c r="F35" s="229"/>
      <c r="G35" s="225"/>
    </row>
    <row r="36" spans="1:7">
      <c r="A36" s="219"/>
      <c r="B36" s="220"/>
      <c r="C36" s="220"/>
      <c r="D36" s="225"/>
      <c r="E36" s="220"/>
      <c r="F36" s="213"/>
      <c r="G36" s="225"/>
    </row>
    <row r="37" spans="1:7">
      <c r="A37" s="226" t="s">
        <v>25</v>
      </c>
      <c r="B37" s="227"/>
      <c r="C37" s="220"/>
      <c r="D37" s="225"/>
      <c r="E37" s="220"/>
      <c r="F37" s="224">
        <f>SUM(F31:F35)</f>
        <v>0</v>
      </c>
      <c r="G37" s="225"/>
    </row>
    <row r="38" spans="1:7">
      <c r="A38" s="219"/>
      <c r="B38" s="220"/>
      <c r="C38" s="220"/>
      <c r="D38" s="225"/>
      <c r="E38" s="220"/>
      <c r="F38" s="213"/>
      <c r="G38" s="225"/>
    </row>
    <row r="39" spans="1:7" ht="15.6">
      <c r="A39" s="234" t="s">
        <v>26</v>
      </c>
      <c r="B39" s="235"/>
      <c r="C39" s="236"/>
      <c r="D39" s="237"/>
      <c r="E39" s="236"/>
      <c r="F39" s="238">
        <f>F21+F26+F37</f>
        <v>490.46519999999998</v>
      </c>
      <c r="G39" s="237"/>
    </row>
    <row r="40" spans="1:7">
      <c r="D40" s="223"/>
      <c r="E40" s="223"/>
      <c r="F40" s="224"/>
      <c r="G40" s="296"/>
    </row>
    <row r="41" spans="1:7">
      <c r="A41" s="214"/>
      <c r="B41" s="216"/>
      <c r="C41" s="215"/>
      <c r="D41" s="239"/>
      <c r="E41" s="215"/>
      <c r="F41" s="218"/>
      <c r="G41" s="217"/>
    </row>
    <row r="42" spans="1:7">
      <c r="A42" s="219"/>
      <c r="B42" s="223" t="s">
        <v>27</v>
      </c>
      <c r="C42" s="221" t="s">
        <v>5</v>
      </c>
      <c r="D42" s="222"/>
      <c r="E42" s="223"/>
      <c r="F42" s="224" t="s">
        <v>6</v>
      </c>
      <c r="G42" s="222"/>
    </row>
    <row r="43" spans="1:7">
      <c r="A43" s="266"/>
      <c r="B43" s="267"/>
      <c r="C43" s="268"/>
      <c r="D43" s="269"/>
      <c r="E43" s="268"/>
      <c r="F43" s="270"/>
      <c r="G43" s="271"/>
    </row>
    <row r="44" spans="1:7">
      <c r="A44" s="240"/>
      <c r="B44" s="220"/>
      <c r="C44" s="220"/>
      <c r="D44" s="220"/>
      <c r="E44" s="219"/>
      <c r="F44" s="213"/>
      <c r="G44" s="241"/>
    </row>
    <row r="45" spans="1:7">
      <c r="A45" s="226" t="s">
        <v>28</v>
      </c>
      <c r="B45" s="220"/>
      <c r="C45" s="220"/>
      <c r="D45" s="220"/>
      <c r="E45" s="219"/>
      <c r="F45" s="213"/>
      <c r="G45" s="241"/>
    </row>
    <row r="46" spans="1:7">
      <c r="A46" s="219"/>
      <c r="B46" s="227" t="s">
        <v>29</v>
      </c>
      <c r="D46" s="220"/>
      <c r="E46" s="219"/>
      <c r="F46" s="213"/>
      <c r="G46" s="241"/>
    </row>
    <row r="47" spans="1:7" s="247" customFormat="1">
      <c r="A47" s="242"/>
      <c r="B47" s="243"/>
      <c r="C47" s="244" t="s">
        <v>30</v>
      </c>
      <c r="D47" s="244"/>
      <c r="E47" s="245"/>
      <c r="F47" s="228">
        <v>0</v>
      </c>
      <c r="G47" s="246"/>
    </row>
    <row r="48" spans="1:7" s="247" customFormat="1">
      <c r="A48" s="242"/>
      <c r="B48" s="243"/>
      <c r="C48" s="244" t="s">
        <v>31</v>
      </c>
      <c r="D48" s="244"/>
      <c r="E48" s="245"/>
      <c r="F48" s="228">
        <v>0</v>
      </c>
      <c r="G48" s="246"/>
    </row>
    <row r="49" spans="1:10" s="250" customFormat="1">
      <c r="A49" s="245"/>
      <c r="B49" s="244"/>
      <c r="C49" s="244" t="s">
        <v>58</v>
      </c>
      <c r="D49" s="244"/>
      <c r="E49" s="245"/>
      <c r="F49" s="248">
        <f>16.779*1.0851</f>
        <v>18.2068929</v>
      </c>
      <c r="G49" s="249"/>
      <c r="H49" s="30" t="s">
        <v>60</v>
      </c>
      <c r="J49" s="232"/>
    </row>
    <row r="50" spans="1:10" s="250" customFormat="1">
      <c r="A50" s="245"/>
      <c r="D50" s="251"/>
      <c r="F50" s="252"/>
      <c r="G50" s="249"/>
    </row>
    <row r="51" spans="1:10" s="250" customFormat="1">
      <c r="A51" s="245"/>
      <c r="B51" s="253" t="s">
        <v>33</v>
      </c>
      <c r="C51" s="254"/>
      <c r="D51" s="255"/>
      <c r="E51" s="256"/>
      <c r="F51" s="257">
        <f>F47+F48+F49</f>
        <v>18.2068929</v>
      </c>
      <c r="G51" s="249"/>
    </row>
    <row r="52" spans="1:10" s="250" customFormat="1">
      <c r="A52" s="245"/>
      <c r="D52" s="244"/>
      <c r="E52" s="245"/>
      <c r="F52" s="228"/>
      <c r="G52" s="249"/>
    </row>
    <row r="53" spans="1:10" s="250" customFormat="1">
      <c r="A53" s="245"/>
      <c r="B53" s="244"/>
      <c r="C53" s="244"/>
      <c r="D53" s="244"/>
      <c r="E53" s="245"/>
      <c r="F53" s="228"/>
      <c r="G53" s="249"/>
    </row>
    <row r="54" spans="1:10" s="250" customFormat="1">
      <c r="A54" s="245"/>
      <c r="B54" s="258" t="s">
        <v>34</v>
      </c>
      <c r="D54" s="244"/>
      <c r="E54" s="245"/>
      <c r="F54" s="228"/>
      <c r="G54" s="249"/>
    </row>
    <row r="55" spans="1:10" s="250" customFormat="1">
      <c r="A55" s="245"/>
      <c r="B55" s="244"/>
      <c r="C55" s="244" t="s">
        <v>59</v>
      </c>
      <c r="D55" s="244"/>
      <c r="E55" s="245"/>
      <c r="F55" s="228">
        <f>4.574*1.0851</f>
        <v>4.9632473999999993</v>
      </c>
      <c r="G55" s="249"/>
      <c r="H55" s="30" t="s">
        <v>60</v>
      </c>
      <c r="J55" s="232"/>
    </row>
    <row r="56" spans="1:10" s="250" customFormat="1">
      <c r="A56" s="245"/>
      <c r="B56" s="244"/>
      <c r="C56" s="244"/>
      <c r="D56" s="244"/>
      <c r="E56" s="245"/>
      <c r="F56" s="248"/>
      <c r="G56" s="249"/>
    </row>
    <row r="57" spans="1:10">
      <c r="A57" s="226"/>
      <c r="B57" s="220"/>
      <c r="C57" s="220"/>
      <c r="D57" s="220"/>
      <c r="E57" s="219"/>
      <c r="F57" s="213"/>
      <c r="G57" s="241"/>
    </row>
    <row r="58" spans="1:10">
      <c r="A58" s="226"/>
      <c r="B58" s="230" t="s">
        <v>35</v>
      </c>
      <c r="C58" s="201"/>
      <c r="D58" s="259"/>
      <c r="E58" s="240"/>
      <c r="F58" s="224">
        <f>SUM(F55:F56)</f>
        <v>4.9632473999999993</v>
      </c>
      <c r="G58" s="241"/>
    </row>
    <row r="59" spans="1:10">
      <c r="A59" s="226"/>
      <c r="B59" s="220"/>
      <c r="C59" s="220"/>
      <c r="D59" s="220"/>
      <c r="E59" s="219"/>
      <c r="F59" s="213"/>
      <c r="G59" s="241"/>
    </row>
    <row r="60" spans="1:10" ht="16.5" customHeight="1">
      <c r="A60" s="234" t="s">
        <v>36</v>
      </c>
      <c r="B60" s="236"/>
      <c r="C60" s="236"/>
      <c r="D60" s="260"/>
      <c r="E60" s="261"/>
      <c r="F60" s="238">
        <f>F51+F58</f>
        <v>23.1701403</v>
      </c>
      <c r="G60" s="262"/>
    </row>
    <row r="61" spans="1:10" ht="13.8">
      <c r="A61" s="263"/>
      <c r="B61" s="215"/>
      <c r="C61" s="215"/>
      <c r="D61" s="215"/>
      <c r="E61" s="215"/>
      <c r="F61" s="264"/>
      <c r="G61" s="265"/>
    </row>
    <row r="62" spans="1:10">
      <c r="A62" s="214"/>
      <c r="B62" s="215"/>
      <c r="C62" s="216"/>
      <c r="D62" s="217"/>
      <c r="E62" s="216"/>
      <c r="F62" s="218"/>
      <c r="G62" s="217"/>
    </row>
    <row r="63" spans="1:10">
      <c r="A63" s="219"/>
      <c r="B63" s="220"/>
      <c r="C63" s="221" t="s">
        <v>5</v>
      </c>
      <c r="D63" s="222"/>
      <c r="E63" s="223"/>
      <c r="F63" s="224" t="s">
        <v>6</v>
      </c>
      <c r="G63" s="222"/>
    </row>
    <row r="64" spans="1:10">
      <c r="A64" s="266"/>
      <c r="B64" s="267"/>
      <c r="C64" s="268"/>
      <c r="D64" s="269"/>
      <c r="E64" s="268"/>
      <c r="F64" s="270"/>
      <c r="G64" s="271"/>
    </row>
    <row r="65" spans="1:7">
      <c r="A65" s="214"/>
      <c r="B65" s="215"/>
      <c r="C65" s="216"/>
      <c r="D65" s="217"/>
      <c r="E65" s="216"/>
      <c r="F65" s="218"/>
      <c r="G65" s="272"/>
    </row>
    <row r="66" spans="1:7">
      <c r="A66" s="226" t="s">
        <v>37</v>
      </c>
      <c r="B66" s="220"/>
      <c r="C66" s="220"/>
      <c r="D66" s="225"/>
      <c r="E66" s="220"/>
      <c r="F66" s="213"/>
      <c r="G66" s="241"/>
    </row>
    <row r="67" spans="1:7">
      <c r="A67" s="219"/>
      <c r="B67" s="220"/>
      <c r="C67" s="220" t="s">
        <v>38</v>
      </c>
      <c r="D67" s="225"/>
      <c r="E67" s="220"/>
      <c r="F67" s="213">
        <v>0</v>
      </c>
      <c r="G67" s="241"/>
    </row>
    <row r="68" spans="1:7">
      <c r="A68" s="219"/>
      <c r="B68" s="220"/>
      <c r="C68" s="220" t="s">
        <v>39</v>
      </c>
      <c r="D68" s="225"/>
      <c r="E68" s="220"/>
      <c r="F68" s="213">
        <v>0</v>
      </c>
      <c r="G68" s="241"/>
    </row>
    <row r="69" spans="1:7">
      <c r="A69" s="219"/>
      <c r="B69" s="220"/>
      <c r="C69" s="220" t="s">
        <v>40</v>
      </c>
      <c r="D69" s="225"/>
      <c r="E69" s="220"/>
      <c r="F69" s="213">
        <v>0</v>
      </c>
      <c r="G69" s="241"/>
    </row>
    <row r="70" spans="1:7">
      <c r="A70" s="219"/>
      <c r="B70" s="220"/>
      <c r="C70" s="220" t="s">
        <v>41</v>
      </c>
      <c r="D70" s="225"/>
      <c r="E70" s="220"/>
      <c r="F70" s="229">
        <v>0</v>
      </c>
      <c r="G70" s="241"/>
    </row>
    <row r="71" spans="1:7">
      <c r="A71" s="219"/>
      <c r="B71" s="220"/>
      <c r="C71" s="220"/>
      <c r="D71" s="225"/>
      <c r="E71" s="220"/>
      <c r="F71" s="213"/>
      <c r="G71" s="241"/>
    </row>
    <row r="72" spans="1:7">
      <c r="A72" s="226" t="s">
        <v>25</v>
      </c>
      <c r="B72" s="220"/>
      <c r="C72" s="220"/>
      <c r="D72" s="225"/>
      <c r="E72" s="220"/>
      <c r="F72" s="213">
        <f>SUM(F67:F70)</f>
        <v>0</v>
      </c>
      <c r="G72" s="241"/>
    </row>
    <row r="73" spans="1:7">
      <c r="A73" s="219"/>
      <c r="B73" s="220"/>
      <c r="C73" s="220"/>
      <c r="D73" s="225"/>
      <c r="E73" s="220"/>
      <c r="F73" s="213"/>
      <c r="G73" s="241"/>
    </row>
    <row r="74" spans="1:7">
      <c r="A74" s="273" t="s">
        <v>42</v>
      </c>
      <c r="B74" s="221"/>
      <c r="C74" s="221"/>
      <c r="D74" s="231"/>
      <c r="E74" s="221"/>
      <c r="F74" s="224">
        <f>+F72+F60</f>
        <v>23.1701403</v>
      </c>
      <c r="G74" s="241"/>
    </row>
    <row r="75" spans="1:7">
      <c r="A75" s="226"/>
      <c r="B75" s="220"/>
      <c r="C75" s="220"/>
      <c r="D75" s="225"/>
      <c r="E75" s="220"/>
      <c r="F75" s="213"/>
      <c r="G75" s="241"/>
    </row>
    <row r="76" spans="1:7">
      <c r="A76" s="226" t="s">
        <v>43</v>
      </c>
      <c r="B76" s="220"/>
      <c r="C76" s="220"/>
      <c r="D76" s="225"/>
      <c r="E76" s="220"/>
      <c r="G76" s="241"/>
    </row>
    <row r="77" spans="1:7">
      <c r="A77" s="226"/>
      <c r="B77" s="220"/>
      <c r="C77" s="274" t="s">
        <v>44</v>
      </c>
      <c r="D77" s="225">
        <v>10</v>
      </c>
      <c r="E77" s="220"/>
      <c r="F77" s="213"/>
      <c r="G77" s="241"/>
    </row>
    <row r="78" spans="1:7">
      <c r="A78" s="226"/>
      <c r="B78" s="220"/>
      <c r="C78" s="274" t="s">
        <v>45</v>
      </c>
      <c r="D78" s="225">
        <v>7</v>
      </c>
      <c r="E78" s="220"/>
      <c r="F78" s="213"/>
      <c r="G78" s="241"/>
    </row>
    <row r="79" spans="1:7">
      <c r="A79" s="226"/>
      <c r="B79" s="220"/>
      <c r="C79" s="220" t="s">
        <v>46</v>
      </c>
      <c r="D79" s="225"/>
      <c r="E79" s="220"/>
      <c r="F79" s="275">
        <f>(D78/100*(1+D78/100)^D77/((1+D78/100)^D77-1))</f>
        <v>0.14237750272736471</v>
      </c>
      <c r="G79" s="241"/>
    </row>
    <row r="80" spans="1:7">
      <c r="A80" s="226"/>
      <c r="B80" s="220"/>
      <c r="C80" s="220"/>
      <c r="D80" s="225"/>
      <c r="E80" s="220"/>
      <c r="F80" s="213"/>
      <c r="G80" s="241"/>
    </row>
    <row r="81" spans="1:7">
      <c r="A81" s="226" t="s">
        <v>47</v>
      </c>
      <c r="B81" s="220"/>
      <c r="C81" s="220"/>
      <c r="D81" s="225"/>
      <c r="E81" s="220"/>
      <c r="F81" s="213"/>
      <c r="G81" s="241"/>
    </row>
    <row r="82" spans="1:7">
      <c r="A82" s="226"/>
      <c r="B82" s="220"/>
      <c r="C82" s="227" t="s">
        <v>48</v>
      </c>
      <c r="D82" s="225"/>
      <c r="E82" s="220"/>
      <c r="F82" s="213">
        <f>F39</f>
        <v>490.46519999999998</v>
      </c>
      <c r="G82" s="241"/>
    </row>
    <row r="83" spans="1:7">
      <c r="A83" s="226"/>
      <c r="B83" s="220"/>
      <c r="C83" s="230"/>
      <c r="D83" s="231"/>
      <c r="E83" s="221"/>
      <c r="F83" s="224"/>
      <c r="G83" s="241"/>
    </row>
    <row r="84" spans="1:7">
      <c r="A84" s="226"/>
      <c r="B84" s="220"/>
      <c r="C84" s="230" t="s">
        <v>49</v>
      </c>
      <c r="D84" s="231"/>
      <c r="E84" s="221"/>
      <c r="F84" s="224">
        <f>F82*F79</f>
        <v>69.83121035067748</v>
      </c>
      <c r="G84" s="241"/>
    </row>
    <row r="85" spans="1:7" ht="13.8" thickBot="1">
      <c r="A85" s="297"/>
      <c r="B85" s="286"/>
      <c r="C85" s="286"/>
      <c r="D85" s="298"/>
      <c r="E85" s="286"/>
      <c r="F85" s="295"/>
      <c r="G85" s="299"/>
    </row>
    <row r="86" spans="1:7">
      <c r="A86" s="273" t="s">
        <v>50</v>
      </c>
      <c r="B86" s="220"/>
      <c r="C86" s="220"/>
      <c r="D86" s="225"/>
      <c r="E86" s="220"/>
      <c r="F86" s="224">
        <f>F74+F84</f>
        <v>93.00135065067748</v>
      </c>
      <c r="G86" s="241"/>
    </row>
    <row r="87" spans="1:7">
      <c r="A87" s="273" t="s">
        <v>51</v>
      </c>
      <c r="B87" s="220"/>
      <c r="C87" s="220"/>
      <c r="D87" s="225"/>
      <c r="E87" s="220"/>
      <c r="F87" s="224"/>
      <c r="G87" s="241"/>
    </row>
    <row r="88" spans="1:7">
      <c r="A88" s="273"/>
      <c r="B88" s="220"/>
      <c r="C88" s="220"/>
      <c r="D88" s="225"/>
      <c r="E88" s="220"/>
      <c r="F88" s="224"/>
      <c r="G88" s="241"/>
    </row>
    <row r="89" spans="1:7" s="247" customFormat="1">
      <c r="A89" s="281" t="s">
        <v>52</v>
      </c>
      <c r="B89" s="243"/>
      <c r="C89" s="243"/>
      <c r="D89" s="282"/>
      <c r="E89" s="243"/>
      <c r="F89" s="257">
        <f>C8*C9</f>
        <v>7.5669049943999998</v>
      </c>
      <c r="G89" s="246"/>
    </row>
    <row r="90" spans="1:7" ht="13.8" thickBot="1">
      <c r="A90" s="219"/>
      <c r="B90" s="227"/>
      <c r="C90" s="220"/>
      <c r="D90" s="225"/>
      <c r="E90" s="220"/>
      <c r="F90" s="224"/>
      <c r="G90" s="241"/>
    </row>
    <row r="91" spans="1:7">
      <c r="A91" s="283" t="s">
        <v>53</v>
      </c>
      <c r="B91" s="277"/>
      <c r="C91" s="277"/>
      <c r="D91" s="278"/>
      <c r="E91" s="277"/>
      <c r="F91" s="284"/>
      <c r="G91" s="280"/>
    </row>
    <row r="92" spans="1:7">
      <c r="A92" s="273"/>
      <c r="B92" s="220"/>
      <c r="C92" s="221" t="s">
        <v>54</v>
      </c>
      <c r="D92" s="231"/>
      <c r="E92" s="221"/>
      <c r="F92" s="224"/>
      <c r="G92" s="241"/>
    </row>
    <row r="93" spans="1:7" ht="13.8" thickBot="1">
      <c r="A93" s="285"/>
      <c r="B93" s="286"/>
      <c r="C93" s="287" t="s">
        <v>55</v>
      </c>
      <c r="D93" s="288"/>
      <c r="E93" s="287"/>
      <c r="F93" s="289">
        <f>ROUND(F86*1000/F89,)</f>
        <v>12291</v>
      </c>
      <c r="G93" s="299"/>
    </row>
    <row r="94" spans="1:7" ht="13.8">
      <c r="A94" s="263"/>
    </row>
    <row r="95" spans="1:7">
      <c r="A95" s="30" t="s">
        <v>62</v>
      </c>
    </row>
    <row r="96" spans="1:7">
      <c r="A96" s="209" t="s">
        <v>63</v>
      </c>
    </row>
  </sheetData>
  <pageMargins left="0.25" right="0.25" top="0.5" bottom="0.25" header="0.3" footer="0.3"/>
  <pageSetup paperSize="17" scale="9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5</vt:i4>
      </vt:variant>
    </vt:vector>
  </HeadingPairs>
  <TitlesOfParts>
    <vt:vector size="9" baseType="lpstr">
      <vt:lpstr>Boiler Catalyst for CO_VOC</vt:lpstr>
      <vt:lpstr>WH_ST Catalyst for CO_VOC</vt:lpstr>
      <vt:lpstr>Waste Heat Boilers Low NOx Burn</vt:lpstr>
      <vt:lpstr>Solar Turbine Water Injection</vt:lpstr>
      <vt:lpstr>'Boiler Catalyst for CO_VOC'!Print_Area</vt:lpstr>
      <vt:lpstr>'Waste Heat Boilers Low NOx Burn'!Print_Area</vt:lpstr>
      <vt:lpstr>'WH_ST Catalyst for CO_VOC'!Print_Area</vt:lpstr>
      <vt:lpstr>'Boiler Catalyst for CO_VOC'!Print_Titles</vt:lpstr>
      <vt:lpstr>'WH_ST Catalyst for CO_VOC'!Print_Titles</vt:lpstr>
    </vt:vector>
  </TitlesOfParts>
  <Company>ERM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 Jordan</dc:creator>
  <cp:lastModifiedBy>Amy Uildriks</cp:lastModifiedBy>
  <cp:lastPrinted>2019-05-16T17:41:22Z</cp:lastPrinted>
  <dcterms:created xsi:type="dcterms:W3CDTF">2013-10-16T12:56:14Z</dcterms:created>
  <dcterms:modified xsi:type="dcterms:W3CDTF">2019-05-16T17:41:26Z</dcterms:modified>
</cp:coreProperties>
</file>