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AQ\PERMITS\AIRFACS\Agrium Nikiski (83)\Construction\AQ0083CPT07\Application\08.08.2019 IR Response\"/>
    </mc:Choice>
  </mc:AlternateContent>
  <xr:revisionPtr revIDLastSave="0" documentId="13_ncr:1_{38855A50-8AC0-4FA8-919C-E6A30737AC9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oiler Cat Ox" sheetId="1" r:id="rId1"/>
    <sheet name="WHB Turbine Cat Ox" sheetId="2" r:id="rId2"/>
    <sheet name="Reformer Cat Ox" sheetId="3" r:id="rId3"/>
    <sheet name="Fuel Usage" sheetId="4" r:id="rId4"/>
  </sheets>
  <definedNames>
    <definedName name="_Regression_Out" localSheetId="2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1" hidden="1">#REF!</definedName>
    <definedName name="_Regression_Y" hidden="1">#REF!</definedName>
    <definedName name="CTG_CO_Limit" localSheetId="2">#REF!</definedName>
    <definedName name="CTG_CO_Limit" localSheetId="1">#REF!</definedName>
    <definedName name="CTG_CO_Limit">#REF!</definedName>
    <definedName name="CTG_NOx_Limit" localSheetId="2">#REF!</definedName>
    <definedName name="CTG_NOx_Limit" localSheetId="1">#REF!</definedName>
    <definedName name="CTG_NOx_Limit">#REF!</definedName>
    <definedName name="CTG_VOC_Limit" localSheetId="2">#REF!</definedName>
    <definedName name="CTG_VOC_Limit" localSheetId="1">#REF!</definedName>
    <definedName name="CTG_VOC_Limit">#REF!</definedName>
    <definedName name="_xlnm.Database" localSheetId="2">#REF!</definedName>
    <definedName name="_xlnm.Database" localSheetId="1">#REF!</definedName>
    <definedName name="_xlnm.Database">#REF!</definedName>
    <definedName name="DB_CO_Limit" localSheetId="2">#REF!</definedName>
    <definedName name="DB_CO_Limit" localSheetId="1">#REF!</definedName>
    <definedName name="DB_CO_Limit">#REF!</definedName>
    <definedName name="DB_Hours" localSheetId="2">#REF!</definedName>
    <definedName name="DB_Hours" localSheetId="1">#REF!</definedName>
    <definedName name="DB_Hours">#REF!</definedName>
    <definedName name="DB_NOx_Limit" localSheetId="2">#REF!</definedName>
    <definedName name="DB_NOx_Limit" localSheetId="1">#REF!</definedName>
    <definedName name="DB_NOx_Limit">#REF!</definedName>
    <definedName name="DB_VOC_Limit" localSheetId="2">#REF!</definedName>
    <definedName name="DB_VOC_Limit" localSheetId="1">#REF!</definedName>
    <definedName name="DB_VOC_Limit">#REF!</definedName>
    <definedName name="OXCAT_CO" localSheetId="2">#REF!</definedName>
    <definedName name="OXCAT_CO" localSheetId="1">#REF!</definedName>
    <definedName name="OXCAT_CO">#REF!</definedName>
    <definedName name="OXCAT_CO_CTG" localSheetId="2">#REF!</definedName>
    <definedName name="OXCAT_CO_CTG" localSheetId="1">#REF!</definedName>
    <definedName name="OXCAT_CO_CTG">#REF!</definedName>
    <definedName name="OXCAT_CO_DB" localSheetId="2">#REF!</definedName>
    <definedName name="OXCAT_CO_DB" localSheetId="1">#REF!</definedName>
    <definedName name="OXCAT_CO_DB">#REF!</definedName>
    <definedName name="OXCAT_VOC" localSheetId="2">#REF!</definedName>
    <definedName name="OXCAT_VOC" localSheetId="1">#REF!</definedName>
    <definedName name="OXCAT_VOC">#REF!</definedName>
    <definedName name="RANGE1" localSheetId="2">#REF!</definedName>
    <definedName name="RANGE1" localSheetId="1">#REF!</definedName>
    <definedName name="RANGE1">#REF!</definedName>
    <definedName name="RANGE2" localSheetId="2">#REF!</definedName>
    <definedName name="RANGE2" localSheetId="1">#REF!</definedName>
    <definedName name="RANGE2">#REF!</definedName>
    <definedName name="SCONOX" localSheetId="2">#REF!</definedName>
    <definedName name="SCONOX" localSheetId="1">#REF!</definedName>
    <definedName name="SCONOX">#REF!</definedName>
    <definedName name="SCR_25" localSheetId="2">#REF!</definedName>
    <definedName name="SCR_25" localSheetId="1">#REF!</definedName>
    <definedName name="SCR_25">#REF!</definedName>
    <definedName name="SCR_30" localSheetId="2">#REF!</definedName>
    <definedName name="SCR_30" localSheetId="1">#REF!</definedName>
    <definedName name="SCR_30">#REF!</definedName>
    <definedName name="SCR_35" localSheetId="2">#REF!</definedName>
    <definedName name="SCR_35" localSheetId="1">#REF!</definedName>
    <definedName name="SCR_35">#REF!</definedName>
    <definedName name="SCR_Incremental" localSheetId="2">#REF!</definedName>
    <definedName name="SCR_Incremental" localSheetId="1">#REF!</definedName>
    <definedName name="SCR_Incremental">#REF!</definedName>
    <definedName name="ttt" localSheetId="2" hidden="1">#REF!</definedName>
    <definedName name="ttt" localSheetId="1" hidden="1">#REF!</definedName>
    <definedName name="ttt" hidden="1">#REF!</definedName>
    <definedName name="xxx" localSheetId="2" hidden="1">#REF!</definedName>
    <definedName name="xxx" localSheetId="1" hidden="1">#REF!</definedName>
    <definedName name="xxx" hidden="1">#REF!</definedName>
    <definedName name="yyy" localSheetId="2" hidden="1">#REF!</definedName>
    <definedName name="yyy" localSheetId="1" hidden="1">#REF!</definedName>
    <definedName name="yyy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4" l="1"/>
  <c r="J7" i="4" s="1"/>
  <c r="J11" i="4" l="1"/>
  <c r="C80" i="3" s="1"/>
  <c r="C29" i="3"/>
  <c r="C82" i="3" l="1"/>
  <c r="C15" i="1" l="1"/>
  <c r="C16" i="2"/>
  <c r="F5" i="4" l="1"/>
  <c r="F7" i="4" s="1"/>
  <c r="F11" i="4" s="1"/>
  <c r="C81" i="2" s="1"/>
  <c r="C30" i="2"/>
  <c r="B5" i="4"/>
  <c r="B7" i="4" s="1"/>
  <c r="B11" i="4" s="1"/>
  <c r="C80" i="1" s="1"/>
  <c r="C29" i="1"/>
  <c r="C17" i="3"/>
  <c r="C96" i="3" s="1"/>
  <c r="C91" i="3"/>
  <c r="C92" i="3" s="1"/>
  <c r="C88" i="3"/>
  <c r="C89" i="3" s="1"/>
  <c r="C87" i="3"/>
  <c r="C79" i="3"/>
  <c r="C83" i="3" s="1"/>
  <c r="C85" i="3" s="1"/>
  <c r="C66" i="3"/>
  <c r="C30" i="3"/>
  <c r="C22" i="3"/>
  <c r="C67" i="3" s="1"/>
  <c r="C21" i="3"/>
  <c r="C61" i="3" s="1"/>
  <c r="C62" i="3" s="1"/>
  <c r="C20" i="3"/>
  <c r="C84" i="3" s="1"/>
  <c r="C19" i="3"/>
  <c r="C97" i="3" s="1"/>
  <c r="C14" i="3"/>
  <c r="C98" i="2"/>
  <c r="C97" i="2"/>
  <c r="C92" i="2"/>
  <c r="C93" i="2" s="1"/>
  <c r="C88" i="2"/>
  <c r="C89" i="2" s="1"/>
  <c r="C90" i="2" s="1"/>
  <c r="C83" i="2"/>
  <c r="C80" i="2"/>
  <c r="C67" i="2"/>
  <c r="C69" i="2" s="1"/>
  <c r="C70" i="2" s="1"/>
  <c r="C71" i="2" s="1"/>
  <c r="C33" i="2"/>
  <c r="C23" i="2"/>
  <c r="C68" i="2" s="1"/>
  <c r="C22" i="2"/>
  <c r="C62" i="2" s="1"/>
  <c r="C63" i="2" s="1"/>
  <c r="C21" i="2"/>
  <c r="C85" i="2" s="1"/>
  <c r="C15" i="2"/>
  <c r="C91" i="1"/>
  <c r="C92" i="1" s="1"/>
  <c r="C87" i="1"/>
  <c r="C88" i="1" s="1"/>
  <c r="C89" i="1" s="1"/>
  <c r="C82" i="1"/>
  <c r="C79" i="1"/>
  <c r="C66" i="1"/>
  <c r="C32" i="1"/>
  <c r="C22" i="1"/>
  <c r="C67" i="1" s="1"/>
  <c r="C21" i="1"/>
  <c r="C61" i="1" s="1"/>
  <c r="C62" i="1" s="1"/>
  <c r="C20" i="1"/>
  <c r="C84" i="1" s="1"/>
  <c r="C19" i="1"/>
  <c r="C97" i="1" s="1"/>
  <c r="C17" i="1"/>
  <c r="C96" i="1" s="1"/>
  <c r="C14" i="1"/>
  <c r="C93" i="3" l="1"/>
  <c r="C84" i="2"/>
  <c r="C86" i="2" s="1"/>
  <c r="C68" i="3"/>
  <c r="C69" i="3" s="1"/>
  <c r="C70" i="3" s="1"/>
  <c r="C64" i="3"/>
  <c r="C31" i="3"/>
  <c r="C32" i="3"/>
  <c r="C94" i="2"/>
  <c r="C65" i="2"/>
  <c r="C73" i="2" s="1"/>
  <c r="C31" i="2"/>
  <c r="C32" i="2"/>
  <c r="C34" i="2" s="1"/>
  <c r="C64" i="1"/>
  <c r="C83" i="1"/>
  <c r="C85" i="1" s="1"/>
  <c r="C68" i="1"/>
  <c r="C69" i="1" s="1"/>
  <c r="C70" i="1" s="1"/>
  <c r="C93" i="1"/>
  <c r="C30" i="1"/>
  <c r="C31" i="1"/>
  <c r="C72" i="3" l="1"/>
  <c r="C33" i="3"/>
  <c r="C39" i="3" s="1"/>
  <c r="C72" i="1"/>
  <c r="C33" i="1"/>
  <c r="C51" i="1" s="1"/>
  <c r="C50" i="3"/>
  <c r="C46" i="3"/>
  <c r="C35" i="3"/>
  <c r="C49" i="3"/>
  <c r="C38" i="3"/>
  <c r="C37" i="3"/>
  <c r="C51" i="3"/>
  <c r="C47" i="3"/>
  <c r="C36" i="3"/>
  <c r="C49" i="2"/>
  <c r="C38" i="2"/>
  <c r="C52" i="2"/>
  <c r="C48" i="2"/>
  <c r="C41" i="2"/>
  <c r="C37" i="2"/>
  <c r="C51" i="2"/>
  <c r="C47" i="2"/>
  <c r="C40" i="2"/>
  <c r="C36" i="2"/>
  <c r="C50" i="2"/>
  <c r="C39" i="2"/>
  <c r="C48" i="1"/>
  <c r="C37" i="1"/>
  <c r="C40" i="1"/>
  <c r="C36" i="1"/>
  <c r="C46" i="1"/>
  <c r="C35" i="1"/>
  <c r="C38" i="1"/>
  <c r="C40" i="3" l="1"/>
  <c r="C48" i="3"/>
  <c r="C52" i="3" s="1"/>
  <c r="C39" i="1"/>
  <c r="C47" i="1"/>
  <c r="C49" i="1"/>
  <c r="C52" i="1" s="1"/>
  <c r="C53" i="1" s="1"/>
  <c r="C50" i="1"/>
  <c r="C42" i="2"/>
  <c r="C45" i="2" s="1"/>
  <c r="C41" i="1"/>
  <c r="C44" i="1" s="1"/>
  <c r="C41" i="3"/>
  <c r="C44" i="3" s="1"/>
  <c r="C53" i="2"/>
  <c r="C54" i="2" l="1"/>
  <c r="C53" i="3"/>
  <c r="C76" i="3" s="1"/>
  <c r="C74" i="3"/>
  <c r="C73" i="3"/>
  <c r="C75" i="2"/>
  <c r="C74" i="2"/>
  <c r="C77" i="2"/>
  <c r="C76" i="2"/>
  <c r="C74" i="1"/>
  <c r="C73" i="1"/>
  <c r="C76" i="1"/>
  <c r="C75" i="1"/>
  <c r="C75" i="3" l="1"/>
  <c r="C77" i="3" s="1"/>
  <c r="C95" i="3" s="1"/>
  <c r="C99" i="3" s="1"/>
  <c r="C78" i="2"/>
  <c r="C96" i="2" s="1"/>
  <c r="C77" i="1"/>
  <c r="C95" i="1" s="1"/>
  <c r="C98" i="3" l="1"/>
  <c r="C100" i="2"/>
  <c r="C99" i="2"/>
  <c r="C99" i="1"/>
  <c r="C98" i="1"/>
</calcChain>
</file>

<file path=xl/sharedStrings.xml><?xml version="1.0" encoding="utf-8"?>
<sst xmlns="http://schemas.openxmlformats.org/spreadsheetml/2006/main" count="539" uniqueCount="151">
  <si>
    <t>Agrium KNO - BACT Analysis</t>
  </si>
  <si>
    <t>Catalytic Oxidizer VOC and CO Control</t>
  </si>
  <si>
    <t>Package Boiler</t>
  </si>
  <si>
    <t>VOC Control Efficiency (%)</t>
  </si>
  <si>
    <t>CO Control Efficiency (%)</t>
  </si>
  <si>
    <t>Facility Input Data</t>
  </si>
  <si>
    <t>Item</t>
  </si>
  <si>
    <t>Value</t>
  </si>
  <si>
    <t>Total Hours per year</t>
  </si>
  <si>
    <t>Economic Life, years</t>
  </si>
  <si>
    <t>Interest Rate (%)</t>
  </si>
  <si>
    <t>Source(s) Controlled</t>
  </si>
  <si>
    <t>Total Flowrate (scfm)</t>
  </si>
  <si>
    <t>VOC Emission Rate (lb/hr)</t>
  </si>
  <si>
    <t>VOC Emissions (tpy)</t>
  </si>
  <si>
    <t>CO Emission Rate (lb/hr)</t>
  </si>
  <si>
    <t>CO Emissions (tpy)</t>
  </si>
  <si>
    <t>Site Specific Electricity Cost ($/kWh)</t>
  </si>
  <si>
    <t>(Estimated in 2013 - Adjusted for 8.51% inflation)</t>
  </si>
  <si>
    <t>Site Specific Operating Labor Cost ($/hr)</t>
  </si>
  <si>
    <t>Site Specific Maint. Labor Cost ($/hr)</t>
  </si>
  <si>
    <t>Capital Costs</t>
  </si>
  <si>
    <t>Basis</t>
  </si>
  <si>
    <t>Direct Costs</t>
  </si>
  <si>
    <t>1.) Purchased Equipment Cost</t>
  </si>
  <si>
    <t xml:space="preserve">    a.) Equipment cost + auxiliaries</t>
  </si>
  <si>
    <t>A (OAQPS)</t>
  </si>
  <si>
    <t>(Calculated in 2013 - Adjusted for 8.51% inflation)</t>
  </si>
  <si>
    <t xml:space="preserve">    b.) Instrumentation</t>
  </si>
  <si>
    <t>0.10 x A</t>
  </si>
  <si>
    <t xml:space="preserve">    c.) Sales taxes</t>
  </si>
  <si>
    <t>0.07 x A</t>
  </si>
  <si>
    <t xml:space="preserve">    d.) Freight</t>
  </si>
  <si>
    <t>0.05 x A</t>
  </si>
  <si>
    <t xml:space="preserve">    Total Purchased equipment cost, (PEC)</t>
  </si>
  <si>
    <t>B = 1.22 x A</t>
  </si>
  <si>
    <t>2.) Direct installation costs</t>
  </si>
  <si>
    <t xml:space="preserve">    a.) Foundations and supports</t>
  </si>
  <si>
    <t>0.08 x B</t>
  </si>
  <si>
    <t xml:space="preserve">    b.) Handling and erection</t>
  </si>
  <si>
    <t>0.14 x B</t>
  </si>
  <si>
    <t xml:space="preserve">    c.) Electrical</t>
  </si>
  <si>
    <t>0.04 x B</t>
  </si>
  <si>
    <t xml:space="preserve">    d.) Piping</t>
  </si>
  <si>
    <t xml:space="preserve">0.02 x B + 40,000 </t>
  </si>
  <si>
    <t xml:space="preserve">    e.) Insulation for ductwork</t>
  </si>
  <si>
    <t>0.01 x B</t>
  </si>
  <si>
    <t xml:space="preserve">    f.) Painting</t>
  </si>
  <si>
    <t xml:space="preserve">    Total direct installation cost</t>
  </si>
  <si>
    <t>0.30 x B</t>
  </si>
  <si>
    <t>3.) Site preparation</t>
  </si>
  <si>
    <t>NA</t>
  </si>
  <si>
    <t>As Required, SP</t>
  </si>
  <si>
    <t>4.) Buildings</t>
  </si>
  <si>
    <t>As Required, Bldg.</t>
  </si>
  <si>
    <t xml:space="preserve">            Total Direct Cost, DC</t>
  </si>
  <si>
    <t>1.30B + SP + Bldg.</t>
  </si>
  <si>
    <t>Indirect Costs (installation)</t>
  </si>
  <si>
    <t>5.) Engineering</t>
  </si>
  <si>
    <t>0.10 x B</t>
  </si>
  <si>
    <t>6.) Construction and field expenses</t>
  </si>
  <si>
    <t>0.05 x B</t>
  </si>
  <si>
    <t>7.) Contractor fees</t>
  </si>
  <si>
    <t>8.) Start-up</t>
  </si>
  <si>
    <t>0.02 x B</t>
  </si>
  <si>
    <t>9.) Performance test</t>
  </si>
  <si>
    <t>10.) Contingencies</t>
  </si>
  <si>
    <t>0.03 x B</t>
  </si>
  <si>
    <t xml:space="preserve">            Total Indirect Cost, IC</t>
  </si>
  <si>
    <t>0.31B + Other</t>
  </si>
  <si>
    <t>Total Capital Investment (TCI) = DC + IC</t>
  </si>
  <si>
    <t>1.61B + SP + Bldg. + Other</t>
  </si>
  <si>
    <t>Annual Costs</t>
  </si>
  <si>
    <t>Source</t>
  </si>
  <si>
    <t xml:space="preserve">1) Operating Costs </t>
  </si>
  <si>
    <t xml:space="preserve">  Operating Labor Requirement (hr/hours of operation)</t>
  </si>
  <si>
    <t>Estimate - 1/2 hr/shift</t>
  </si>
  <si>
    <t>N/A</t>
  </si>
  <si>
    <t xml:space="preserve">  Unit Cost ($/hr)</t>
  </si>
  <si>
    <t>Estimate</t>
  </si>
  <si>
    <t xml:space="preserve">  Labor Cost ($/yr)</t>
  </si>
  <si>
    <t>Calculation</t>
  </si>
  <si>
    <t>2) Supervisory Labor</t>
  </si>
  <si>
    <t xml:space="preserve">  Cost ($/yr)</t>
  </si>
  <si>
    <t>15% Operating Labor</t>
  </si>
  <si>
    <t>OAQPS</t>
  </si>
  <si>
    <t>3) Maintenance</t>
  </si>
  <si>
    <t xml:space="preserve">  Maintenance Labor Req. (hr/year)</t>
  </si>
  <si>
    <t>Estimate - 1/2 hr/day</t>
  </si>
  <si>
    <t xml:space="preserve">  Material Cost ($/yr)</t>
  </si>
  <si>
    <t>100% of Maintenance Labor</t>
  </si>
  <si>
    <t xml:space="preserve">  Total Cost ($/yr)</t>
  </si>
  <si>
    <t>4) Indirect Annual Costs</t>
  </si>
  <si>
    <t xml:space="preserve">  Overhead</t>
  </si>
  <si>
    <t>60% of O&amp;M Costs</t>
  </si>
  <si>
    <t xml:space="preserve">  Administration</t>
  </si>
  <si>
    <t>2% of Total Capital Investment</t>
  </si>
  <si>
    <t xml:space="preserve">  Property Tax</t>
  </si>
  <si>
    <t>1% of Total Capital Investment</t>
  </si>
  <si>
    <t xml:space="preserve">  Insurance</t>
  </si>
  <si>
    <t xml:space="preserve">  Capital Recovery</t>
  </si>
  <si>
    <t xml:space="preserve">20 yr life; 7% interest </t>
  </si>
  <si>
    <t>Total Indirect ($/yr)</t>
  </si>
  <si>
    <t>5) Utilities</t>
  </si>
  <si>
    <t>Natural Gas ($/scf)</t>
  </si>
  <si>
    <t>(2019 Q3 Cook Inlet Prevailing Value)</t>
  </si>
  <si>
    <t>Natural Gas Required (btu/hr)</t>
  </si>
  <si>
    <t>Natural Gas (BTU/scf)</t>
  </si>
  <si>
    <t>Natural Gas Required (scf/hr)</t>
  </si>
  <si>
    <t>Natural Gas ($/yr)</t>
  </si>
  <si>
    <t>Electricity ($/yr)</t>
  </si>
  <si>
    <t xml:space="preserve">  Total Utilities Cost ($/yr)</t>
  </si>
  <si>
    <t>6) Catalyst Replacement</t>
  </si>
  <si>
    <t xml:space="preserve">  Catalyst volume (cf)</t>
  </si>
  <si>
    <t xml:space="preserve">  Catalyst Cost ($)</t>
  </si>
  <si>
    <t xml:space="preserve">Catalyst @ $650/cf </t>
  </si>
  <si>
    <t>Vendor</t>
  </si>
  <si>
    <t>(Vendor provided in 2013 - Adjusted for 8.51% inflation)</t>
  </si>
  <si>
    <t xml:space="preserve">  Sales Tax ($)</t>
  </si>
  <si>
    <t>0% Sales Tax</t>
  </si>
  <si>
    <t xml:space="preserve">  Catalyst Life (yrs)</t>
  </si>
  <si>
    <t>n</t>
  </si>
  <si>
    <t xml:space="preserve">  Interest Rate (%)</t>
  </si>
  <si>
    <t>i</t>
  </si>
  <si>
    <t xml:space="preserve">  CRF</t>
  </si>
  <si>
    <t>Ammortization of Catalyst</t>
  </si>
  <si>
    <t xml:space="preserve">  Annual Cost ($/yr)</t>
  </si>
  <si>
    <t>(Volume)(Unit Cost)(CRF)</t>
  </si>
  <si>
    <t>Total Annualized Cost ($/yr)</t>
  </si>
  <si>
    <t>Total VOC Controlled (tpy)</t>
  </si>
  <si>
    <t>Total CO Controlled (tpy)</t>
  </si>
  <si>
    <t>VOC Cost Effectiveness ($/ton)</t>
  </si>
  <si>
    <t>CO Cost Effectiveness ($/ton)</t>
  </si>
  <si>
    <t>Waste Heat Boilers/Solar Turbines</t>
  </si>
  <si>
    <t>Reformer</t>
  </si>
  <si>
    <t>Total Flowrate (acfm)</t>
  </si>
  <si>
    <t>Volumtric flow rate (acfm)</t>
  </si>
  <si>
    <t>density of Air (lb/ft3)</t>
  </si>
  <si>
    <t>Mass flow rate (lbs/hr)</t>
  </si>
  <si>
    <t>Tinitial (°F)</t>
  </si>
  <si>
    <t>Tfinal (°F)</t>
  </si>
  <si>
    <r>
      <t>C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>(btu/(lb°F))</t>
    </r>
  </si>
  <si>
    <t>∆H (btu/hr)</t>
  </si>
  <si>
    <t>Reformer CatOx</t>
  </si>
  <si>
    <t>Boiler CatOx</t>
  </si>
  <si>
    <t>WHB Turbine CatOx</t>
  </si>
  <si>
    <t>CatOx Fuel Usage Estimates (Btu/hr)</t>
  </si>
  <si>
    <t>Notes:</t>
  </si>
  <si>
    <t>Tinitial  (°F) = Outlet gas temperature from controlled emission unit prior to catalytic oxidizer.</t>
  </si>
  <si>
    <t>Cp(btu/(lb°F)) = Specific Heat of Air</t>
  </si>
  <si>
    <t>Tfinal (°F) = Conservatively assumed to be the lowest operating temperature for a catalytic oxidizer.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</si>
</sst>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.00"/>
    <numFmt numFmtId="166" formatCode="&quot;$&quot;#,##0"/>
    <numFmt numFmtId="167" formatCode="#,##0.0"/>
    <numFmt numFmtId="168" formatCode="#,##0.0000"/>
    <numFmt numFmtId="169" formatCode="0.00_)"/>
    <numFmt numFmtId="170" formatCode="&quot;$&quot;#,##0.000_);[Red]\(&quot;$&quot;#,##0.000\)"/>
  </numFmts>
  <fonts count="20">
    <font>
      <sz val="11"/>
      <color theme="1"/>
      <name val="Calibri"/>
      <family val="2"/>
      <scheme val="minor"/>
    </font>
    <font>
      <sz val="10"/>
      <name val="Arial MT"/>
    </font>
    <font>
      <b/>
      <sz val="14"/>
      <name val="Arial MT"/>
      <family val="2"/>
    </font>
    <font>
      <sz val="10"/>
      <name val="Arial MT"/>
      <family val="2"/>
    </font>
    <font>
      <b/>
      <u/>
      <sz val="14"/>
      <name val="Arial MT"/>
      <family val="2"/>
    </font>
    <font>
      <b/>
      <sz val="12"/>
      <name val="Arial MT"/>
      <family val="2"/>
    </font>
    <font>
      <sz val="14"/>
      <name val="Arial MT"/>
      <family val="2"/>
    </font>
    <font>
      <sz val="8"/>
      <name val="ArialMT"/>
    </font>
    <font>
      <sz val="10"/>
      <name val="Arial"/>
      <family val="2"/>
    </font>
    <font>
      <sz val="8"/>
      <name val="Arial MT"/>
      <family val="2"/>
    </font>
    <font>
      <b/>
      <sz val="8"/>
      <name val="Arial MT"/>
      <family val="2"/>
    </font>
    <font>
      <sz val="9"/>
      <name val="Arial MT"/>
      <family val="2"/>
    </font>
    <font>
      <b/>
      <sz val="10"/>
      <name val="Arial MT"/>
      <family val="2"/>
    </font>
    <font>
      <sz val="8"/>
      <name val="Arial MT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8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121">
    <xf numFmtId="0" fontId="0" fillId="0" borderId="0" xfId="0"/>
    <xf numFmtId="0" fontId="3" fillId="0" borderId="0" xfId="5" applyFont="1"/>
    <xf numFmtId="0" fontId="5" fillId="0" borderId="0" xfId="4" applyFont="1" applyAlignment="1" applyProtection="1"/>
    <xf numFmtId="0" fontId="6" fillId="0" borderId="0" xfId="5" applyFont="1" applyProtection="1"/>
    <xf numFmtId="0" fontId="5" fillId="0" borderId="0" xfId="4" applyFont="1" applyAlignment="1" applyProtection="1">
      <alignment horizontal="center"/>
    </xf>
    <xf numFmtId="0" fontId="7" fillId="0" borderId="1" xfId="5" applyFont="1" applyBorder="1" applyProtection="1"/>
    <xf numFmtId="1" fontId="7" fillId="0" borderId="2" xfId="3" applyNumberFormat="1" applyFont="1" applyFill="1" applyBorder="1" applyProtection="1"/>
    <xf numFmtId="0" fontId="3" fillId="0" borderId="0" xfId="5" applyFont="1" applyAlignment="1">
      <alignment horizontal="center"/>
    </xf>
    <xf numFmtId="0" fontId="9" fillId="0" borderId="3" xfId="5" applyFont="1" applyBorder="1" applyProtection="1"/>
    <xf numFmtId="1" fontId="9" fillId="0" borderId="4" xfId="3" applyNumberFormat="1" applyFont="1" applyFill="1" applyBorder="1" applyProtection="1"/>
    <xf numFmtId="0" fontId="5" fillId="0" borderId="0" xfId="5" applyFont="1" applyProtection="1"/>
    <xf numFmtId="0" fontId="10" fillId="2" borderId="5" xfId="5" applyFont="1" applyFill="1" applyBorder="1" applyAlignment="1" applyProtection="1">
      <alignment horizontal="center"/>
    </xf>
    <xf numFmtId="0" fontId="10" fillId="2" borderId="6" xfId="5" applyFont="1" applyFill="1" applyBorder="1" applyAlignment="1" applyProtection="1">
      <alignment horizontal="center"/>
    </xf>
    <xf numFmtId="0" fontId="9" fillId="0" borderId="7" xfId="5" applyFont="1" applyBorder="1" applyAlignment="1" applyProtection="1"/>
    <xf numFmtId="0" fontId="9" fillId="0" borderId="8" xfId="5" applyNumberFormat="1" applyFont="1" applyFill="1" applyBorder="1" applyProtection="1"/>
    <xf numFmtId="0" fontId="9" fillId="0" borderId="7" xfId="5" applyFont="1" applyFill="1" applyBorder="1" applyProtection="1"/>
    <xf numFmtId="1" fontId="9" fillId="0" borderId="8" xfId="5" applyNumberFormat="1" applyFont="1" applyFill="1" applyBorder="1" applyProtection="1"/>
    <xf numFmtId="0" fontId="9" fillId="0" borderId="7" xfId="5" applyFont="1" applyBorder="1" applyProtection="1"/>
    <xf numFmtId="0" fontId="9" fillId="0" borderId="8" xfId="5" applyNumberFormat="1" applyFont="1" applyFill="1" applyBorder="1" applyAlignment="1" applyProtection="1">
      <alignment horizontal="right"/>
      <protection locked="0"/>
    </xf>
    <xf numFmtId="0" fontId="7" fillId="0" borderId="7" xfId="5" applyFont="1" applyBorder="1" applyProtection="1"/>
    <xf numFmtId="4" fontId="7" fillId="0" borderId="8" xfId="5" applyNumberFormat="1" applyFont="1" applyFill="1" applyBorder="1" applyProtection="1">
      <protection locked="0"/>
    </xf>
    <xf numFmtId="4" fontId="7" fillId="0" borderId="8" xfId="5" applyNumberFormat="1" applyFont="1" applyBorder="1" applyProtection="1">
      <protection locked="0"/>
    </xf>
    <xf numFmtId="164" fontId="9" fillId="0" borderId="8" xfId="5" applyNumberFormat="1" applyFont="1" applyFill="1" applyBorder="1" applyAlignment="1" applyProtection="1">
      <alignment horizontal="right"/>
      <protection locked="0"/>
    </xf>
    <xf numFmtId="0" fontId="11" fillId="0" borderId="0" xfId="5" applyFont="1" applyAlignment="1">
      <alignment horizontal="left"/>
    </xf>
    <xf numFmtId="165" fontId="9" fillId="0" borderId="8" xfId="5" applyNumberFormat="1" applyFont="1" applyFill="1" applyBorder="1" applyAlignment="1" applyProtection="1">
      <alignment horizontal="right"/>
      <protection locked="0"/>
    </xf>
    <xf numFmtId="0" fontId="9" fillId="0" borderId="9" xfId="5" applyFont="1" applyBorder="1" applyProtection="1"/>
    <xf numFmtId="165" fontId="9" fillId="0" borderId="10" xfId="5" applyNumberFormat="1" applyFont="1" applyFill="1" applyBorder="1" applyAlignment="1" applyProtection="1">
      <alignment horizontal="right"/>
      <protection locked="0"/>
    </xf>
    <xf numFmtId="0" fontId="10" fillId="2" borderId="11" xfId="5" applyFont="1" applyFill="1" applyBorder="1" applyAlignment="1" applyProtection="1">
      <alignment horizontal="center"/>
    </xf>
    <xf numFmtId="0" fontId="10" fillId="2" borderId="12" xfId="5" applyFont="1" applyFill="1" applyBorder="1" applyAlignment="1" applyProtection="1">
      <alignment horizontal="center"/>
    </xf>
    <xf numFmtId="0" fontId="10" fillId="0" borderId="7" xfId="5" applyFont="1" applyBorder="1" applyProtection="1"/>
    <xf numFmtId="43" fontId="9" fillId="0" borderId="0" xfId="1" applyFont="1" applyProtection="1"/>
    <xf numFmtId="0" fontId="9" fillId="0" borderId="13" xfId="5" applyFont="1" applyBorder="1" applyAlignment="1" applyProtection="1">
      <alignment horizontal="center"/>
    </xf>
    <xf numFmtId="166" fontId="9" fillId="0" borderId="0" xfId="5" applyNumberFormat="1" applyFont="1" applyFill="1" applyProtection="1"/>
    <xf numFmtId="3" fontId="3" fillId="0" borderId="0" xfId="5" applyNumberFormat="1" applyFont="1"/>
    <xf numFmtId="5" fontId="9" fillId="0" borderId="0" xfId="5" applyNumberFormat="1" applyFont="1" applyProtection="1"/>
    <xf numFmtId="5" fontId="9" fillId="0" borderId="14" xfId="5" applyNumberFormat="1" applyFont="1" applyBorder="1" applyProtection="1"/>
    <xf numFmtId="0" fontId="9" fillId="0" borderId="15" xfId="5" applyFont="1" applyBorder="1" applyAlignment="1" applyProtection="1">
      <alignment horizontal="center"/>
    </xf>
    <xf numFmtId="0" fontId="9" fillId="0" borderId="0" xfId="5" applyFont="1" applyProtection="1"/>
    <xf numFmtId="5" fontId="9" fillId="0" borderId="0" xfId="5" applyNumberFormat="1" applyFont="1" applyAlignment="1" applyProtection="1">
      <alignment horizontal="right"/>
    </xf>
    <xf numFmtId="5" fontId="3" fillId="0" borderId="0" xfId="5" applyNumberFormat="1" applyFont="1"/>
    <xf numFmtId="5" fontId="9" fillId="0" borderId="14" xfId="5" applyNumberFormat="1" applyFont="1" applyBorder="1" applyAlignment="1" applyProtection="1">
      <alignment horizontal="right"/>
    </xf>
    <xf numFmtId="5" fontId="9" fillId="0" borderId="0" xfId="5" applyNumberFormat="1" applyFont="1" applyBorder="1" applyProtection="1"/>
    <xf numFmtId="0" fontId="10" fillId="0" borderId="16" xfId="5" applyFont="1" applyBorder="1" applyProtection="1"/>
    <xf numFmtId="5" fontId="9" fillId="0" borderId="17" xfId="5" applyNumberFormat="1" applyFont="1" applyBorder="1" applyProtection="1"/>
    <xf numFmtId="0" fontId="9" fillId="0" borderId="18" xfId="5" applyFont="1" applyBorder="1" applyAlignment="1" applyProtection="1">
      <alignment horizontal="center"/>
    </xf>
    <xf numFmtId="0" fontId="10" fillId="0" borderId="9" xfId="5" applyFont="1" applyBorder="1" applyProtection="1"/>
    <xf numFmtId="5" fontId="10" fillId="0" borderId="14" xfId="5" applyNumberFormat="1" applyFont="1" applyBorder="1" applyProtection="1"/>
    <xf numFmtId="0" fontId="10" fillId="0" borderId="15" xfId="5" applyFont="1" applyBorder="1" applyAlignment="1" applyProtection="1">
      <alignment horizontal="center"/>
    </xf>
    <xf numFmtId="0" fontId="12" fillId="0" borderId="0" xfId="5" applyFont="1" applyProtection="1"/>
    <xf numFmtId="0" fontId="10" fillId="2" borderId="19" xfId="5" applyFont="1" applyFill="1" applyBorder="1" applyAlignment="1" applyProtection="1">
      <alignment horizontal="center"/>
    </xf>
    <xf numFmtId="0" fontId="10" fillId="0" borderId="20" xfId="5" applyFont="1" applyBorder="1" applyProtection="1"/>
    <xf numFmtId="0" fontId="9" fillId="0" borderId="20" xfId="5" applyFont="1" applyBorder="1" applyAlignment="1" applyProtection="1">
      <alignment horizontal="right"/>
    </xf>
    <xf numFmtId="0" fontId="9" fillId="0" borderId="20" xfId="5" applyFont="1" applyBorder="1" applyAlignment="1" applyProtection="1">
      <alignment horizontal="center"/>
    </xf>
    <xf numFmtId="0" fontId="9" fillId="0" borderId="21" xfId="5" applyFont="1" applyBorder="1" applyProtection="1"/>
    <xf numFmtId="0" fontId="9" fillId="0" borderId="21" xfId="5" applyFont="1" applyFill="1" applyBorder="1" applyAlignment="1" applyProtection="1">
      <alignment horizontal="right"/>
    </xf>
    <xf numFmtId="0" fontId="9" fillId="0" borderId="21" xfId="5" applyFont="1" applyFill="1" applyBorder="1" applyAlignment="1" applyProtection="1">
      <alignment horizontal="center"/>
    </xf>
    <xf numFmtId="0" fontId="9" fillId="0" borderId="21" xfId="5" applyFont="1" applyBorder="1" applyAlignment="1" applyProtection="1">
      <alignment horizontal="center"/>
    </xf>
    <xf numFmtId="7" fontId="9" fillId="0" borderId="21" xfId="5" applyNumberFormat="1" applyFont="1" applyBorder="1" applyAlignment="1" applyProtection="1">
      <alignment horizontal="right"/>
    </xf>
    <xf numFmtId="0" fontId="9" fillId="0" borderId="22" xfId="5" applyFont="1" applyBorder="1" applyProtection="1"/>
    <xf numFmtId="5" fontId="9" fillId="0" borderId="22" xfId="5" applyNumberFormat="1" applyFont="1" applyFill="1" applyBorder="1" applyAlignment="1" applyProtection="1">
      <alignment horizontal="right"/>
    </xf>
    <xf numFmtId="0" fontId="9" fillId="0" borderId="22" xfId="5" applyFont="1" applyBorder="1" applyAlignment="1" applyProtection="1">
      <alignment horizontal="center"/>
    </xf>
    <xf numFmtId="5" fontId="9" fillId="0" borderId="22" xfId="5" applyNumberFormat="1" applyFont="1" applyBorder="1" applyAlignment="1" applyProtection="1">
      <alignment horizontal="right"/>
    </xf>
    <xf numFmtId="167" fontId="9" fillId="0" borderId="21" xfId="5" applyNumberFormat="1" applyFont="1" applyFill="1" applyBorder="1" applyAlignment="1" applyProtection="1">
      <alignment horizontal="right"/>
    </xf>
    <xf numFmtId="5" fontId="9" fillId="0" borderId="21" xfId="5" applyNumberFormat="1" applyFont="1" applyBorder="1" applyAlignment="1" applyProtection="1">
      <alignment horizontal="right"/>
    </xf>
    <xf numFmtId="5" fontId="3" fillId="0" borderId="0" xfId="2" applyNumberFormat="1" applyFont="1"/>
    <xf numFmtId="1" fontId="3" fillId="0" borderId="0" xfId="2" applyNumberFormat="1" applyFont="1"/>
    <xf numFmtId="5" fontId="9" fillId="0" borderId="21" xfId="5" applyNumberFormat="1" applyFont="1" applyFill="1" applyBorder="1" applyAlignment="1" applyProtection="1">
      <alignment horizontal="right"/>
    </xf>
    <xf numFmtId="0" fontId="9" fillId="0" borderId="23" xfId="5" applyFont="1" applyBorder="1" applyProtection="1"/>
    <xf numFmtId="5" fontId="9" fillId="0" borderId="23" xfId="5" applyNumberFormat="1" applyFont="1" applyFill="1" applyBorder="1" applyAlignment="1" applyProtection="1">
      <alignment horizontal="right"/>
    </xf>
    <xf numFmtId="0" fontId="9" fillId="0" borderId="23" xfId="5" applyFont="1" applyBorder="1" applyAlignment="1" applyProtection="1">
      <alignment horizontal="center"/>
    </xf>
    <xf numFmtId="168" fontId="9" fillId="0" borderId="21" xfId="5" applyNumberFormat="1" applyFont="1" applyFill="1" applyBorder="1" applyAlignment="1" applyProtection="1">
      <alignment horizontal="right"/>
    </xf>
    <xf numFmtId="8" fontId="9" fillId="0" borderId="21" xfId="5" applyNumberFormat="1" applyFont="1" applyFill="1" applyBorder="1" applyAlignment="1" applyProtection="1">
      <alignment horizontal="center"/>
    </xf>
    <xf numFmtId="0" fontId="3" fillId="0" borderId="21" xfId="5" applyFont="1" applyBorder="1"/>
    <xf numFmtId="3" fontId="9" fillId="0" borderId="21" xfId="5" applyNumberFormat="1" applyFont="1" applyFill="1" applyBorder="1" applyAlignment="1" applyProtection="1">
      <alignment horizontal="right"/>
    </xf>
    <xf numFmtId="0" fontId="10" fillId="0" borderId="0" xfId="5" applyFont="1" applyFill="1" applyBorder="1" applyProtection="1"/>
    <xf numFmtId="0" fontId="9" fillId="0" borderId="0" xfId="5" applyFont="1" applyFill="1" applyBorder="1" applyAlignment="1" applyProtection="1">
      <alignment horizontal="right"/>
    </xf>
    <xf numFmtId="0" fontId="9" fillId="0" borderId="0" xfId="5" applyFont="1" applyFill="1" applyBorder="1" applyAlignment="1" applyProtection="1">
      <alignment horizontal="center"/>
    </xf>
    <xf numFmtId="0" fontId="3" fillId="0" borderId="0" xfId="5" applyFont="1" applyFill="1" applyBorder="1"/>
    <xf numFmtId="0" fontId="13" fillId="0" borderId="21" xfId="5" applyFont="1" applyBorder="1" applyProtection="1"/>
    <xf numFmtId="1" fontId="9" fillId="0" borderId="21" xfId="5" applyNumberFormat="1" applyFont="1" applyBorder="1" applyAlignment="1" applyProtection="1">
      <alignment horizontal="right"/>
    </xf>
    <xf numFmtId="0" fontId="9" fillId="0" borderId="0" xfId="5" applyFont="1" applyFill="1" applyBorder="1" applyProtection="1"/>
    <xf numFmtId="0" fontId="9" fillId="0" borderId="21" xfId="5" applyFont="1" applyFill="1" applyBorder="1" applyProtection="1"/>
    <xf numFmtId="5" fontId="9" fillId="0" borderId="0" xfId="5" applyNumberFormat="1" applyFont="1" applyFill="1" applyBorder="1" applyAlignment="1" applyProtection="1">
      <alignment horizontal="right"/>
    </xf>
    <xf numFmtId="1" fontId="9" fillId="0" borderId="21" xfId="5" applyNumberFormat="1" applyFont="1" applyFill="1" applyBorder="1" applyAlignment="1" applyProtection="1">
      <alignment horizontal="right"/>
    </xf>
    <xf numFmtId="1" fontId="9" fillId="0" borderId="0" xfId="5" applyNumberFormat="1" applyFont="1" applyFill="1" applyBorder="1" applyAlignment="1" applyProtection="1">
      <alignment horizontal="right"/>
    </xf>
    <xf numFmtId="169" fontId="9" fillId="0" borderId="21" xfId="5" applyNumberFormat="1" applyFont="1" applyFill="1" applyBorder="1" applyAlignment="1" applyProtection="1">
      <alignment horizontal="right"/>
    </xf>
    <xf numFmtId="169" fontId="9" fillId="0" borderId="0" xfId="5" applyNumberFormat="1" applyFont="1" applyFill="1" applyBorder="1" applyAlignment="1" applyProtection="1">
      <alignment horizontal="right"/>
    </xf>
    <xf numFmtId="0" fontId="9" fillId="0" borderId="24" xfId="5" applyFont="1" applyBorder="1" applyProtection="1"/>
    <xf numFmtId="5" fontId="9" fillId="0" borderId="25" xfId="5" applyNumberFormat="1" applyFont="1" applyFill="1" applyBorder="1" applyAlignment="1" applyProtection="1">
      <alignment horizontal="right"/>
    </xf>
    <xf numFmtId="0" fontId="9" fillId="0" borderId="0" xfId="5" applyFont="1" applyBorder="1" applyAlignment="1" applyProtection="1">
      <alignment horizontal="center"/>
    </xf>
    <xf numFmtId="0" fontId="10" fillId="0" borderId="24" xfId="5" applyFont="1" applyBorder="1" applyProtection="1"/>
    <xf numFmtId="5" fontId="10" fillId="0" borderId="25" xfId="5" applyNumberFormat="1" applyFont="1" applyFill="1" applyBorder="1" applyAlignment="1" applyProtection="1"/>
    <xf numFmtId="2" fontId="10" fillId="0" borderId="25" xfId="5" applyNumberFormat="1" applyFont="1" applyFill="1" applyBorder="1" applyAlignment="1" applyProtection="1"/>
    <xf numFmtId="166" fontId="10" fillId="0" borderId="25" xfId="5" applyNumberFormat="1" applyFont="1" applyFill="1" applyBorder="1" applyAlignment="1" applyProtection="1"/>
    <xf numFmtId="0" fontId="10" fillId="0" borderId="26" xfId="5" applyFont="1" applyBorder="1" applyProtection="1"/>
    <xf numFmtId="166" fontId="10" fillId="0" borderId="27" xfId="2" applyNumberFormat="1" applyFont="1" applyFill="1" applyBorder="1" applyAlignment="1" applyProtection="1"/>
    <xf numFmtId="0" fontId="14" fillId="0" borderId="1" xfId="5" applyFont="1" applyBorder="1" applyProtection="1"/>
    <xf numFmtId="1" fontId="14" fillId="0" borderId="2" xfId="3" applyNumberFormat="1" applyFont="1" applyFill="1" applyBorder="1" applyProtection="1"/>
    <xf numFmtId="0" fontId="14" fillId="0" borderId="7" xfId="5" applyFont="1" applyBorder="1" applyProtection="1"/>
    <xf numFmtId="4" fontId="14" fillId="0" borderId="8" xfId="5" applyNumberFormat="1" applyFont="1" applyFill="1" applyBorder="1" applyProtection="1">
      <protection locked="0"/>
    </xf>
    <xf numFmtId="3" fontId="9" fillId="0" borderId="8" xfId="5" applyNumberFormat="1" applyFont="1" applyFill="1" applyBorder="1" applyProtection="1">
      <protection locked="0"/>
    </xf>
    <xf numFmtId="4" fontId="9" fillId="0" borderId="8" xfId="5" applyNumberFormat="1" applyFont="1" applyFill="1" applyBorder="1" applyProtection="1">
      <protection locked="0"/>
    </xf>
    <xf numFmtId="4" fontId="9" fillId="0" borderId="8" xfId="5" applyNumberFormat="1" applyFont="1" applyBorder="1" applyProtection="1">
      <protection locked="0"/>
    </xf>
    <xf numFmtId="170" fontId="9" fillId="0" borderId="21" xfId="5" applyNumberFormat="1" applyFont="1" applyFill="1" applyBorder="1" applyAlignment="1" applyProtection="1">
      <alignment horizontal="center"/>
    </xf>
    <xf numFmtId="0" fontId="9" fillId="0" borderId="3" xfId="5" applyFont="1" applyBorder="1"/>
    <xf numFmtId="0" fontId="9" fillId="0" borderId="4" xfId="5" applyFont="1" applyBorder="1"/>
    <xf numFmtId="0" fontId="3" fillId="0" borderId="0" xfId="5" quotePrefix="1" applyFont="1"/>
    <xf numFmtId="0" fontId="4" fillId="0" borderId="0" xfId="4" applyFont="1" applyAlignment="1" applyProtection="1"/>
    <xf numFmtId="0" fontId="2" fillId="0" borderId="0" xfId="4" applyFont="1" applyFill="1" applyAlignment="1" applyProtection="1"/>
    <xf numFmtId="0" fontId="4" fillId="0" borderId="0" xfId="4" applyFont="1" applyAlignment="1" applyProtection="1">
      <alignment horizontal="center"/>
    </xf>
    <xf numFmtId="0" fontId="11" fillId="0" borderId="0" xfId="5" applyFont="1"/>
    <xf numFmtId="0" fontId="3" fillId="0" borderId="0" xfId="5" applyFont="1" applyFill="1" applyAlignment="1">
      <alignment horizontal="center"/>
    </xf>
    <xf numFmtId="166" fontId="9" fillId="0" borderId="21" xfId="5" applyNumberFormat="1" applyFont="1" applyFill="1" applyBorder="1" applyAlignment="1" applyProtection="1">
      <alignment horizontal="right"/>
    </xf>
    <xf numFmtId="0" fontId="8" fillId="0" borderId="0" xfId="6"/>
    <xf numFmtId="0" fontId="8" fillId="0" borderId="0" xfId="6" applyFont="1"/>
    <xf numFmtId="3" fontId="8" fillId="0" borderId="0" xfId="6" applyNumberFormat="1"/>
    <xf numFmtId="0" fontId="15" fillId="0" borderId="0" xfId="0" applyFont="1" applyAlignment="1">
      <alignment horizontal="center"/>
    </xf>
    <xf numFmtId="0" fontId="8" fillId="0" borderId="0" xfId="6" applyFill="1"/>
    <xf numFmtId="0" fontId="17" fillId="0" borderId="0" xfId="6" applyFont="1"/>
    <xf numFmtId="0" fontId="18" fillId="0" borderId="0" xfId="6" applyFont="1" applyFill="1"/>
    <xf numFmtId="0" fontId="19" fillId="0" borderId="0" xfId="6" applyFont="1" applyFill="1"/>
  </cellXfs>
  <cellStyles count="7">
    <cellStyle name="Comma" xfId="1" builtinId="3"/>
    <cellStyle name="Currency" xfId="2" builtinId="4"/>
    <cellStyle name="Normal" xfId="0" builtinId="0"/>
    <cellStyle name="Normal 3" xfId="6" xr:uid="{00000000-0005-0000-0000-000003000000}"/>
    <cellStyle name="Normal_Att 10-C -D -E -F_Coal Boiler costings" xfId="4" xr:uid="{00000000-0005-0000-0000-000004000000}"/>
    <cellStyle name="Normal_BACT Two Elk Auxiliary Boiler (010907)" xfId="5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01"/>
  <sheetViews>
    <sheetView tabSelected="1" topLeftCell="A79" workbookViewId="0">
      <selection activeCell="D97" sqref="D97"/>
    </sheetView>
  </sheetViews>
  <sheetFormatPr defaultColWidth="9.140625" defaultRowHeight="12.75"/>
  <cols>
    <col min="1" max="1" width="3.5703125" style="1" customWidth="1"/>
    <col min="2" max="2" width="40.7109375" style="1" customWidth="1"/>
    <col min="3" max="3" width="31.5703125" style="1" customWidth="1"/>
    <col min="4" max="4" width="28.85546875" style="1" customWidth="1"/>
    <col min="5" max="5" width="11.5703125" style="1" bestFit="1" customWidth="1"/>
    <col min="6" max="16384" width="9.140625" style="1"/>
  </cols>
  <sheetData>
    <row r="1" spans="2:8" ht="18">
      <c r="C1" s="109" t="s">
        <v>0</v>
      </c>
      <c r="D1" s="107"/>
      <c r="E1" s="107"/>
    </row>
    <row r="2" spans="2:8" ht="18">
      <c r="C2" s="4" t="s">
        <v>1</v>
      </c>
      <c r="D2" s="2"/>
      <c r="E2" s="2"/>
      <c r="F2" s="3"/>
      <c r="G2" s="3"/>
      <c r="H2" s="3"/>
    </row>
    <row r="3" spans="2:8" ht="18">
      <c r="C3" s="4" t="s">
        <v>2</v>
      </c>
      <c r="D3" s="2"/>
      <c r="E3" s="2"/>
      <c r="F3" s="3"/>
      <c r="G3" s="3"/>
      <c r="H3" s="3"/>
    </row>
    <row r="4" spans="2:8" ht="18">
      <c r="B4" s="4"/>
      <c r="C4" s="4"/>
      <c r="D4" s="4"/>
      <c r="E4" s="2"/>
      <c r="F4" s="3"/>
      <c r="G4" s="3"/>
      <c r="H4" s="3"/>
    </row>
    <row r="5" spans="2:8">
      <c r="B5" s="5" t="s">
        <v>3</v>
      </c>
      <c r="C5" s="6">
        <v>80</v>
      </c>
      <c r="D5" s="7"/>
      <c r="E5" s="7"/>
    </row>
    <row r="6" spans="2:8">
      <c r="B6" s="8" t="s">
        <v>4</v>
      </c>
      <c r="C6" s="9">
        <v>99</v>
      </c>
      <c r="D6" s="7"/>
      <c r="E6" s="7"/>
    </row>
    <row r="7" spans="2:8">
      <c r="D7" s="7"/>
      <c r="E7" s="7"/>
    </row>
    <row r="8" spans="2:8" ht="15.75">
      <c r="B8" s="10" t="s">
        <v>5</v>
      </c>
      <c r="D8" s="7"/>
      <c r="E8" s="7"/>
    </row>
    <row r="9" spans="2:8">
      <c r="D9" s="7"/>
      <c r="E9" s="7"/>
    </row>
    <row r="10" spans="2:8" ht="13.5" thickBot="1">
      <c r="B10" s="11" t="s">
        <v>6</v>
      </c>
      <c r="C10" s="12" t="s">
        <v>7</v>
      </c>
      <c r="D10" s="7"/>
      <c r="E10" s="7"/>
    </row>
    <row r="11" spans="2:8" ht="13.5" thickTop="1">
      <c r="B11" s="13" t="s">
        <v>8</v>
      </c>
      <c r="C11" s="14">
        <v>8760</v>
      </c>
      <c r="D11" s="7"/>
      <c r="E11" s="7"/>
    </row>
    <row r="12" spans="2:8">
      <c r="B12" s="15" t="s">
        <v>9</v>
      </c>
      <c r="C12" s="14">
        <v>10</v>
      </c>
      <c r="D12" s="7"/>
      <c r="E12" s="7"/>
    </row>
    <row r="13" spans="2:8">
      <c r="B13" s="15" t="s">
        <v>10</v>
      </c>
      <c r="C13" s="16">
        <v>7</v>
      </c>
      <c r="D13" s="7"/>
      <c r="E13" s="7"/>
    </row>
    <row r="14" spans="2:8">
      <c r="B14" s="17" t="s">
        <v>11</v>
      </c>
      <c r="C14" s="18" t="str">
        <f>C3</f>
        <v>Package Boiler</v>
      </c>
      <c r="D14" s="7"/>
      <c r="E14" s="7"/>
    </row>
    <row r="15" spans="2:8">
      <c r="B15" s="17" t="s">
        <v>12</v>
      </c>
      <c r="C15" s="100">
        <f>31.9/(0.3048^3)*60</f>
        <v>67592.272104929143</v>
      </c>
      <c r="D15" s="7"/>
      <c r="E15" s="7"/>
      <c r="G15" s="106"/>
    </row>
    <row r="16" spans="2:8">
      <c r="B16" s="19" t="s">
        <v>13</v>
      </c>
      <c r="C16" s="20">
        <v>1.3</v>
      </c>
      <c r="D16" s="7"/>
      <c r="E16" s="7"/>
    </row>
    <row r="17" spans="2:6">
      <c r="B17" s="19" t="s">
        <v>14</v>
      </c>
      <c r="C17" s="21">
        <f>C16*8760/2000</f>
        <v>5.694</v>
      </c>
      <c r="D17" s="7"/>
      <c r="E17" s="7"/>
    </row>
    <row r="18" spans="2:6">
      <c r="B18" s="17" t="s">
        <v>15</v>
      </c>
      <c r="C18" s="20">
        <v>8.99</v>
      </c>
      <c r="D18" s="7"/>
      <c r="E18" s="7"/>
    </row>
    <row r="19" spans="2:6">
      <c r="B19" s="17" t="s">
        <v>16</v>
      </c>
      <c r="C19" s="20">
        <f>C18*8760/2000</f>
        <v>39.376200000000004</v>
      </c>
      <c r="D19" s="7"/>
      <c r="E19" s="7"/>
    </row>
    <row r="20" spans="2:6">
      <c r="B20" s="17" t="s">
        <v>17</v>
      </c>
      <c r="C20" s="22">
        <f>0.093*1.0851</f>
        <v>0.1009143</v>
      </c>
      <c r="D20" s="23" t="s">
        <v>18</v>
      </c>
      <c r="E20" s="7"/>
    </row>
    <row r="21" spans="2:6">
      <c r="B21" s="17" t="s">
        <v>19</v>
      </c>
      <c r="C21" s="24">
        <f>45*1.0851</f>
        <v>48.829499999999996</v>
      </c>
      <c r="D21" s="23" t="s">
        <v>18</v>
      </c>
      <c r="E21" s="7"/>
    </row>
    <row r="22" spans="2:6">
      <c r="B22" s="25" t="s">
        <v>20</v>
      </c>
      <c r="C22" s="26">
        <f>45*1.0851</f>
        <v>48.829499999999996</v>
      </c>
      <c r="D22" s="23" t="s">
        <v>18</v>
      </c>
      <c r="E22" s="7"/>
    </row>
    <row r="23" spans="2:6">
      <c r="D23" s="7"/>
      <c r="E23" s="7"/>
    </row>
    <row r="24" spans="2:6" ht="15.75">
      <c r="B24" s="10" t="s">
        <v>21</v>
      </c>
      <c r="D24" s="7"/>
      <c r="E24" s="7"/>
    </row>
    <row r="25" spans="2:6">
      <c r="D25" s="7"/>
      <c r="E25" s="7"/>
    </row>
    <row r="26" spans="2:6" ht="13.5" thickBot="1">
      <c r="B26" s="11"/>
      <c r="C26" s="27" t="s">
        <v>7</v>
      </c>
      <c r="D26" s="28" t="s">
        <v>22</v>
      </c>
      <c r="E26" s="7"/>
    </row>
    <row r="27" spans="2:6" ht="13.5" thickTop="1">
      <c r="B27" s="29" t="s">
        <v>23</v>
      </c>
      <c r="C27" s="30"/>
      <c r="D27" s="31"/>
      <c r="E27" s="7"/>
    </row>
    <row r="28" spans="2:6">
      <c r="B28" s="17" t="s">
        <v>24</v>
      </c>
      <c r="C28" s="30"/>
      <c r="D28" s="31"/>
      <c r="E28" s="7"/>
    </row>
    <row r="29" spans="2:6">
      <c r="B29" s="17" t="s">
        <v>25</v>
      </c>
      <c r="C29" s="32">
        <f>(1443*(C15^0.5527))*(9437/6059)*1.0851</f>
        <v>1139339.6045522925</v>
      </c>
      <c r="D29" s="31" t="s">
        <v>26</v>
      </c>
      <c r="E29" s="23" t="s">
        <v>27</v>
      </c>
      <c r="F29" s="33"/>
    </row>
    <row r="30" spans="2:6">
      <c r="B30" s="17" t="s">
        <v>28</v>
      </c>
      <c r="C30" s="34">
        <f>ROUND(0.1*$C$29,-2)</f>
        <v>113900</v>
      </c>
      <c r="D30" s="31" t="s">
        <v>29</v>
      </c>
      <c r="E30" s="7"/>
    </row>
    <row r="31" spans="2:6">
      <c r="B31" s="17" t="s">
        <v>30</v>
      </c>
      <c r="C31" s="34">
        <f>ROUND(0.07*$C$29,-2)</f>
        <v>79800</v>
      </c>
      <c r="D31" s="31" t="s">
        <v>31</v>
      </c>
      <c r="E31" s="7"/>
    </row>
    <row r="32" spans="2:6">
      <c r="B32" s="17" t="s">
        <v>32</v>
      </c>
      <c r="C32" s="35">
        <f>ROUND(0.05*$C$29,-2)</f>
        <v>57000</v>
      </c>
      <c r="D32" s="36" t="s">
        <v>33</v>
      </c>
      <c r="E32" s="7"/>
    </row>
    <row r="33" spans="2:7">
      <c r="B33" s="17" t="s">
        <v>34</v>
      </c>
      <c r="C33" s="34">
        <f>SUM(C29:C32)</f>
        <v>1390039.6045522925</v>
      </c>
      <c r="D33" s="31" t="s">
        <v>35</v>
      </c>
      <c r="E33" s="7"/>
    </row>
    <row r="34" spans="2:7">
      <c r="B34" s="17" t="s">
        <v>36</v>
      </c>
      <c r="C34" s="37"/>
      <c r="D34" s="31"/>
      <c r="E34" s="7"/>
    </row>
    <row r="35" spans="2:7">
      <c r="B35" s="17" t="s">
        <v>37</v>
      </c>
      <c r="C35" s="34">
        <f>ROUND(0.08*$C$33,-2)</f>
        <v>111200</v>
      </c>
      <c r="D35" s="31" t="s">
        <v>38</v>
      </c>
      <c r="E35" s="7"/>
    </row>
    <row r="36" spans="2:7">
      <c r="B36" s="17" t="s">
        <v>39</v>
      </c>
      <c r="C36" s="34">
        <f>ROUND(0.14*$C$33,-2)</f>
        <v>194600</v>
      </c>
      <c r="D36" s="31" t="s">
        <v>40</v>
      </c>
      <c r="E36" s="7"/>
    </row>
    <row r="37" spans="2:7">
      <c r="B37" s="17" t="s">
        <v>41</v>
      </c>
      <c r="C37" s="34">
        <f>ROUND(0.04*$C$33,-2)</f>
        <v>55600</v>
      </c>
      <c r="D37" s="31" t="s">
        <v>42</v>
      </c>
      <c r="E37" s="7"/>
    </row>
    <row r="38" spans="2:7">
      <c r="B38" s="17" t="s">
        <v>43</v>
      </c>
      <c r="C38" s="34">
        <f>ROUND(0.02*$C$33,-2)+40000</f>
        <v>67800</v>
      </c>
      <c r="D38" s="31" t="s">
        <v>44</v>
      </c>
      <c r="E38" s="7"/>
    </row>
    <row r="39" spans="2:7">
      <c r="B39" s="17" t="s">
        <v>45</v>
      </c>
      <c r="C39" s="34">
        <f>ROUND(0.01*$C$33,-2)</f>
        <v>13900</v>
      </c>
      <c r="D39" s="31" t="s">
        <v>46</v>
      </c>
      <c r="E39" s="7"/>
    </row>
    <row r="40" spans="2:7">
      <c r="B40" s="17" t="s">
        <v>47</v>
      </c>
      <c r="C40" s="35">
        <f>ROUND(0.01*$C$33,-2)</f>
        <v>13900</v>
      </c>
      <c r="D40" s="36" t="s">
        <v>46</v>
      </c>
      <c r="E40" s="7"/>
    </row>
    <row r="41" spans="2:7">
      <c r="B41" s="17" t="s">
        <v>48</v>
      </c>
      <c r="C41" s="34">
        <f>SUM(C35:C40)</f>
        <v>457000</v>
      </c>
      <c r="D41" s="31" t="s">
        <v>49</v>
      </c>
      <c r="E41" s="7"/>
    </row>
    <row r="42" spans="2:7">
      <c r="B42" s="17" t="s">
        <v>50</v>
      </c>
      <c r="C42" s="38" t="s">
        <v>51</v>
      </c>
      <c r="D42" s="31" t="s">
        <v>52</v>
      </c>
      <c r="E42" s="7"/>
      <c r="G42" s="39"/>
    </row>
    <row r="43" spans="2:7">
      <c r="B43" s="17" t="s">
        <v>53</v>
      </c>
      <c r="C43" s="40" t="s">
        <v>51</v>
      </c>
      <c r="D43" s="36" t="s">
        <v>54</v>
      </c>
      <c r="E43" s="7"/>
    </row>
    <row r="44" spans="2:7">
      <c r="B44" s="29" t="s">
        <v>55</v>
      </c>
      <c r="C44" s="34">
        <f>ROUND(C33+C41,-2)</f>
        <v>1847000</v>
      </c>
      <c r="D44" s="31" t="s">
        <v>56</v>
      </c>
      <c r="E44" s="7"/>
    </row>
    <row r="45" spans="2:7">
      <c r="B45" s="29" t="s">
        <v>57</v>
      </c>
      <c r="C45" s="34"/>
      <c r="D45" s="31"/>
      <c r="E45" s="7"/>
    </row>
    <row r="46" spans="2:7">
      <c r="B46" s="17" t="s">
        <v>58</v>
      </c>
      <c r="C46" s="34">
        <f>ROUND(0.1*$C$33,-2)</f>
        <v>139000</v>
      </c>
      <c r="D46" s="31" t="s">
        <v>59</v>
      </c>
      <c r="E46" s="7"/>
    </row>
    <row r="47" spans="2:7">
      <c r="B47" s="17" t="s">
        <v>60</v>
      </c>
      <c r="C47" s="34">
        <f>ROUND(0.05*$C$33,-2)</f>
        <v>69500</v>
      </c>
      <c r="D47" s="31" t="s">
        <v>61</v>
      </c>
      <c r="E47" s="7"/>
    </row>
    <row r="48" spans="2:7">
      <c r="B48" s="17" t="s">
        <v>62</v>
      </c>
      <c r="C48" s="34">
        <f>ROUND(0.1*$C$33,-2)</f>
        <v>139000</v>
      </c>
      <c r="D48" s="31" t="s">
        <v>59</v>
      </c>
      <c r="E48" s="7"/>
    </row>
    <row r="49" spans="2:5">
      <c r="B49" s="17" t="s">
        <v>63</v>
      </c>
      <c r="C49" s="34">
        <f>ROUND(0.02*$C$33,-2)</f>
        <v>27800</v>
      </c>
      <c r="D49" s="31" t="s">
        <v>64</v>
      </c>
      <c r="E49" s="7"/>
    </row>
    <row r="50" spans="2:5">
      <c r="B50" s="17" t="s">
        <v>65</v>
      </c>
      <c r="C50" s="34">
        <f>ROUND(0.01*$C$33,-2)</f>
        <v>13900</v>
      </c>
      <c r="D50" s="31" t="s">
        <v>46</v>
      </c>
      <c r="E50" s="7"/>
    </row>
    <row r="51" spans="2:5">
      <c r="B51" s="17" t="s">
        <v>66</v>
      </c>
      <c r="C51" s="41">
        <f>ROUND(0.03*$C$33,-2)</f>
        <v>41700</v>
      </c>
      <c r="D51" s="31" t="s">
        <v>67</v>
      </c>
      <c r="E51" s="7"/>
    </row>
    <row r="52" spans="2:5" ht="13.5" thickBot="1">
      <c r="B52" s="42" t="s">
        <v>68</v>
      </c>
      <c r="C52" s="43">
        <f>SUM(C46:C51)</f>
        <v>430900</v>
      </c>
      <c r="D52" s="44" t="s">
        <v>69</v>
      </c>
      <c r="E52" s="7"/>
    </row>
    <row r="53" spans="2:5" ht="13.5" thickTop="1">
      <c r="B53" s="45" t="s">
        <v>70</v>
      </c>
      <c r="C53" s="46">
        <f>ROUND(C44+C52,-2)</f>
        <v>2277900</v>
      </c>
      <c r="D53" s="47" t="s">
        <v>71</v>
      </c>
      <c r="E53" s="7"/>
    </row>
    <row r="54" spans="2:5">
      <c r="B54" s="48"/>
      <c r="D54" s="7"/>
      <c r="E54" s="7"/>
    </row>
    <row r="55" spans="2:5">
      <c r="B55" s="48"/>
      <c r="D55" s="7"/>
      <c r="E55" s="7"/>
    </row>
    <row r="56" spans="2:5" ht="15.75">
      <c r="B56" s="10" t="s">
        <v>72</v>
      </c>
      <c r="D56" s="7"/>
      <c r="E56" s="7"/>
    </row>
    <row r="57" spans="2:5">
      <c r="D57" s="7"/>
      <c r="E57" s="7"/>
    </row>
    <row r="58" spans="2:5">
      <c r="B58" s="49" t="s">
        <v>6</v>
      </c>
      <c r="C58" s="49" t="s">
        <v>7</v>
      </c>
      <c r="D58" s="49" t="s">
        <v>22</v>
      </c>
      <c r="E58" s="49" t="s">
        <v>73</v>
      </c>
    </row>
    <row r="59" spans="2:5">
      <c r="B59" s="50" t="s">
        <v>74</v>
      </c>
      <c r="C59" s="51"/>
      <c r="D59" s="52"/>
      <c r="E59" s="52"/>
    </row>
    <row r="60" spans="2:5">
      <c r="B60" s="53" t="s">
        <v>75</v>
      </c>
      <c r="C60" s="54">
        <v>0.5</v>
      </c>
      <c r="D60" s="55" t="s">
        <v>76</v>
      </c>
      <c r="E60" s="56" t="s">
        <v>77</v>
      </c>
    </row>
    <row r="61" spans="2:5">
      <c r="B61" s="53" t="s">
        <v>78</v>
      </c>
      <c r="C61" s="57">
        <f>C21</f>
        <v>48.829499999999996</v>
      </c>
      <c r="D61" s="56" t="s">
        <v>79</v>
      </c>
      <c r="E61" s="56" t="s">
        <v>77</v>
      </c>
    </row>
    <row r="62" spans="2:5">
      <c r="B62" s="58" t="s">
        <v>80</v>
      </c>
      <c r="C62" s="59">
        <f>ROUND(C60*(C11/8)*C61,-1)</f>
        <v>26730</v>
      </c>
      <c r="D62" s="60" t="s">
        <v>81</v>
      </c>
      <c r="E62" s="60" t="s">
        <v>77</v>
      </c>
    </row>
    <row r="63" spans="2:5">
      <c r="B63" s="50" t="s">
        <v>82</v>
      </c>
      <c r="C63" s="51"/>
      <c r="D63" s="52"/>
      <c r="E63" s="52"/>
    </row>
    <row r="64" spans="2:5">
      <c r="B64" s="58" t="s">
        <v>83</v>
      </c>
      <c r="C64" s="61">
        <f>ROUND(0.15*C62,-1)</f>
        <v>4010</v>
      </c>
      <c r="D64" s="60" t="s">
        <v>84</v>
      </c>
      <c r="E64" s="60" t="s">
        <v>85</v>
      </c>
    </row>
    <row r="65" spans="2:9">
      <c r="B65" s="50" t="s">
        <v>86</v>
      </c>
      <c r="C65" s="51"/>
      <c r="D65" s="52"/>
      <c r="E65" s="52"/>
    </row>
    <row r="66" spans="2:9">
      <c r="B66" s="53" t="s">
        <v>87</v>
      </c>
      <c r="C66" s="62">
        <f>0.5*$C$11/24</f>
        <v>182.5</v>
      </c>
      <c r="D66" s="55" t="s">
        <v>88</v>
      </c>
      <c r="E66" s="56" t="s">
        <v>79</v>
      </c>
    </row>
    <row r="67" spans="2:9">
      <c r="B67" s="53" t="s">
        <v>78</v>
      </c>
      <c r="C67" s="57">
        <f>C22</f>
        <v>48.829499999999996</v>
      </c>
      <c r="D67" s="56" t="s">
        <v>79</v>
      </c>
      <c r="E67" s="56" t="s">
        <v>77</v>
      </c>
    </row>
    <row r="68" spans="2:9">
      <c r="B68" s="53" t="s">
        <v>80</v>
      </c>
      <c r="C68" s="63">
        <f>ROUND((C66)*C67,-1)</f>
        <v>8910</v>
      </c>
      <c r="D68" s="56" t="s">
        <v>81</v>
      </c>
      <c r="E68" s="56" t="s">
        <v>77</v>
      </c>
    </row>
    <row r="69" spans="2:9">
      <c r="B69" s="53" t="s">
        <v>89</v>
      </c>
      <c r="C69" s="63">
        <f>ROUND(+C68,-1)</f>
        <v>8910</v>
      </c>
      <c r="D69" s="56" t="s">
        <v>90</v>
      </c>
      <c r="E69" s="56" t="s">
        <v>85</v>
      </c>
    </row>
    <row r="70" spans="2:9">
      <c r="B70" s="58" t="s">
        <v>91</v>
      </c>
      <c r="C70" s="61">
        <f>ROUND(+C69+C68,-1)</f>
        <v>17820</v>
      </c>
      <c r="D70" s="60" t="s">
        <v>81</v>
      </c>
      <c r="E70" s="60" t="s">
        <v>77</v>
      </c>
    </row>
    <row r="71" spans="2:9">
      <c r="B71" s="50" t="s">
        <v>92</v>
      </c>
      <c r="C71" s="51"/>
      <c r="D71" s="52"/>
      <c r="E71" s="52"/>
      <c r="G71" s="64"/>
      <c r="H71" s="65"/>
      <c r="I71" s="64"/>
    </row>
    <row r="72" spans="2:9">
      <c r="B72" s="53" t="s">
        <v>93</v>
      </c>
      <c r="C72" s="66">
        <f>ROUND(0.6*(C62+C64+C70),-1)</f>
        <v>29140</v>
      </c>
      <c r="D72" s="56" t="s">
        <v>94</v>
      </c>
      <c r="E72" s="56" t="s">
        <v>85</v>
      </c>
      <c r="G72" s="64"/>
      <c r="H72" s="65"/>
      <c r="I72" s="64"/>
    </row>
    <row r="73" spans="2:9">
      <c r="B73" s="53" t="s">
        <v>95</v>
      </c>
      <c r="C73" s="63">
        <f>ROUND(0.02*C53,-1)</f>
        <v>45560</v>
      </c>
      <c r="D73" s="56" t="s">
        <v>96</v>
      </c>
      <c r="E73" s="56" t="s">
        <v>85</v>
      </c>
      <c r="G73" s="64"/>
      <c r="H73" s="65"/>
      <c r="I73" s="64"/>
    </row>
    <row r="74" spans="2:9">
      <c r="B74" s="53" t="s">
        <v>97</v>
      </c>
      <c r="C74" s="63">
        <f>ROUND(0.01*C53,-1)</f>
        <v>22780</v>
      </c>
      <c r="D74" s="56" t="s">
        <v>98</v>
      </c>
      <c r="E74" s="56" t="s">
        <v>85</v>
      </c>
      <c r="G74" s="64"/>
      <c r="H74" s="65"/>
      <c r="I74" s="64"/>
    </row>
    <row r="75" spans="2:9">
      <c r="B75" s="53" t="s">
        <v>99</v>
      </c>
      <c r="C75" s="63">
        <f>ROUND(0.01*C53,-1)</f>
        <v>22780</v>
      </c>
      <c r="D75" s="56" t="s">
        <v>98</v>
      </c>
      <c r="E75" s="56" t="s">
        <v>85</v>
      </c>
      <c r="G75" s="64"/>
      <c r="H75" s="64"/>
      <c r="I75" s="64"/>
    </row>
    <row r="76" spans="2:9">
      <c r="B76" s="53" t="s">
        <v>100</v>
      </c>
      <c r="C76" s="66">
        <f>ROUND((C13/100*(1+C13/100)^C12)/((1+C13/100)^C12-1)*(C53),-1)</f>
        <v>324320</v>
      </c>
      <c r="D76" s="55" t="s">
        <v>101</v>
      </c>
      <c r="E76" s="56" t="s">
        <v>85</v>
      </c>
      <c r="G76" s="64"/>
      <c r="H76" s="64"/>
      <c r="I76" s="64"/>
    </row>
    <row r="77" spans="2:9" ht="13.5" thickBot="1">
      <c r="B77" s="67" t="s">
        <v>102</v>
      </c>
      <c r="C77" s="68">
        <f>SUM(C72:C76)</f>
        <v>444580</v>
      </c>
      <c r="D77" s="69" t="s">
        <v>81</v>
      </c>
      <c r="E77" s="69" t="s">
        <v>77</v>
      </c>
      <c r="G77" s="64"/>
    </row>
    <row r="78" spans="2:9" ht="13.5" thickTop="1">
      <c r="B78" s="50" t="s">
        <v>103</v>
      </c>
      <c r="C78" s="51"/>
      <c r="D78" s="52"/>
      <c r="E78" s="52"/>
    </row>
    <row r="79" spans="2:9">
      <c r="B79" s="53" t="s">
        <v>104</v>
      </c>
      <c r="C79" s="70">
        <f>7.682*C81/1000000</f>
        <v>7.8356399999999996E-3</v>
      </c>
      <c r="D79" s="71">
        <v>7.6820000000000004</v>
      </c>
      <c r="E79" s="72"/>
      <c r="F79" s="110" t="s">
        <v>105</v>
      </c>
    </row>
    <row r="80" spans="2:9">
      <c r="B80" s="53" t="s">
        <v>106</v>
      </c>
      <c r="C80" s="73">
        <f>'Fuel Usage'!B11</f>
        <v>14599930.774664696</v>
      </c>
      <c r="D80" s="55"/>
      <c r="E80" s="56"/>
      <c r="F80" s="110"/>
    </row>
    <row r="81" spans="1:256">
      <c r="B81" s="53" t="s">
        <v>107</v>
      </c>
      <c r="C81" s="73">
        <v>1020</v>
      </c>
      <c r="D81" s="55"/>
      <c r="E81" s="56"/>
    </row>
    <row r="82" spans="1:256">
      <c r="B82" s="53" t="s">
        <v>108</v>
      </c>
      <c r="C82" s="73">
        <f>C80/C81</f>
        <v>14313.657622220291</v>
      </c>
      <c r="D82" s="55"/>
      <c r="E82" s="56"/>
    </row>
    <row r="83" spans="1:256">
      <c r="B83" s="53" t="s">
        <v>109</v>
      </c>
      <c r="C83" s="112">
        <f>C79*C82*8760</f>
        <v>982492.413528134</v>
      </c>
      <c r="D83" s="55"/>
      <c r="E83" s="56"/>
    </row>
    <row r="84" spans="1:256">
      <c r="B84" s="53" t="s">
        <v>110</v>
      </c>
      <c r="C84" s="63">
        <f>0.000117*C15*23/0.6*C11*C20</f>
        <v>267988.59451191954</v>
      </c>
      <c r="D84" s="56"/>
      <c r="E84" s="56" t="s">
        <v>85</v>
      </c>
    </row>
    <row r="85" spans="1:256">
      <c r="B85" s="58" t="s">
        <v>111</v>
      </c>
      <c r="C85" s="61">
        <f>ROUND(C83+C84,-1)</f>
        <v>1250480</v>
      </c>
      <c r="D85" s="60"/>
      <c r="E85" s="60"/>
    </row>
    <row r="86" spans="1:256" s="77" customFormat="1">
      <c r="A86" s="74"/>
      <c r="B86" s="50" t="s">
        <v>112</v>
      </c>
      <c r="C86" s="51"/>
      <c r="D86" s="52"/>
      <c r="E86" s="52"/>
      <c r="F86" s="75"/>
      <c r="G86" s="76"/>
      <c r="H86" s="76"/>
      <c r="I86" s="74"/>
      <c r="J86" s="75"/>
      <c r="K86" s="76"/>
      <c r="L86" s="76"/>
      <c r="M86" s="74"/>
      <c r="N86" s="75"/>
      <c r="O86" s="76"/>
      <c r="P86" s="76"/>
      <c r="Q86" s="74"/>
      <c r="R86" s="75"/>
      <c r="S86" s="76"/>
      <c r="T86" s="76"/>
      <c r="U86" s="74"/>
      <c r="V86" s="75"/>
      <c r="W86" s="76"/>
      <c r="X86" s="76"/>
      <c r="Y86" s="74"/>
      <c r="Z86" s="75"/>
      <c r="AA86" s="76"/>
      <c r="AB86" s="76"/>
      <c r="AC86" s="74"/>
      <c r="AD86" s="75"/>
      <c r="AE86" s="76"/>
      <c r="AF86" s="76"/>
      <c r="AG86" s="74"/>
      <c r="AH86" s="75"/>
      <c r="AI86" s="76"/>
      <c r="AJ86" s="76"/>
      <c r="AK86" s="74"/>
      <c r="AL86" s="75"/>
      <c r="AM86" s="76"/>
      <c r="AN86" s="76"/>
      <c r="AO86" s="74"/>
      <c r="AP86" s="75"/>
      <c r="AQ86" s="76"/>
      <c r="AR86" s="76"/>
      <c r="AS86" s="74"/>
      <c r="AT86" s="75"/>
      <c r="AU86" s="76"/>
      <c r="AV86" s="76"/>
      <c r="AW86" s="74"/>
      <c r="AX86" s="75"/>
      <c r="AY86" s="76"/>
      <c r="AZ86" s="76"/>
      <c r="BA86" s="74"/>
      <c r="BB86" s="75"/>
      <c r="BC86" s="76"/>
      <c r="BD86" s="76"/>
      <c r="BE86" s="74"/>
      <c r="BF86" s="75"/>
      <c r="BG86" s="76"/>
      <c r="BH86" s="76"/>
      <c r="BI86" s="74"/>
      <c r="BJ86" s="75"/>
      <c r="BK86" s="76"/>
      <c r="BL86" s="76"/>
      <c r="BM86" s="74"/>
      <c r="BN86" s="75"/>
      <c r="BO86" s="76"/>
      <c r="BP86" s="76"/>
      <c r="BQ86" s="74"/>
      <c r="BR86" s="75"/>
      <c r="BS86" s="76"/>
      <c r="BT86" s="76"/>
      <c r="BU86" s="74"/>
      <c r="BV86" s="75"/>
      <c r="BW86" s="76"/>
      <c r="BX86" s="76"/>
      <c r="BY86" s="74"/>
      <c r="BZ86" s="75"/>
      <c r="CA86" s="76"/>
      <c r="CB86" s="76"/>
      <c r="CC86" s="74"/>
      <c r="CD86" s="75"/>
      <c r="CE86" s="76"/>
      <c r="CF86" s="76"/>
      <c r="CG86" s="74"/>
      <c r="CH86" s="75"/>
      <c r="CI86" s="76"/>
      <c r="CJ86" s="76"/>
      <c r="CK86" s="74"/>
      <c r="CL86" s="75"/>
      <c r="CM86" s="76"/>
      <c r="CN86" s="76"/>
      <c r="CO86" s="74"/>
      <c r="CP86" s="75"/>
      <c r="CQ86" s="76"/>
      <c r="CR86" s="76"/>
      <c r="CS86" s="74"/>
      <c r="CT86" s="75"/>
      <c r="CU86" s="76"/>
      <c r="CV86" s="76"/>
      <c r="CW86" s="74"/>
      <c r="CX86" s="75"/>
      <c r="CY86" s="76"/>
      <c r="CZ86" s="76"/>
      <c r="DA86" s="74"/>
      <c r="DB86" s="75"/>
      <c r="DC86" s="76"/>
      <c r="DD86" s="76"/>
      <c r="DE86" s="74"/>
      <c r="DF86" s="75"/>
      <c r="DG86" s="76"/>
      <c r="DH86" s="76"/>
      <c r="DI86" s="74"/>
      <c r="DJ86" s="75"/>
      <c r="DK86" s="76"/>
      <c r="DL86" s="76"/>
      <c r="DM86" s="74"/>
      <c r="DN86" s="75"/>
      <c r="DO86" s="76"/>
      <c r="DP86" s="76"/>
      <c r="DQ86" s="74"/>
      <c r="DR86" s="75"/>
      <c r="DS86" s="76"/>
      <c r="DT86" s="76"/>
      <c r="DU86" s="74"/>
      <c r="DV86" s="75"/>
      <c r="DW86" s="76"/>
      <c r="DX86" s="76"/>
      <c r="DY86" s="74"/>
      <c r="DZ86" s="75"/>
      <c r="EA86" s="76"/>
      <c r="EB86" s="76"/>
      <c r="EC86" s="74"/>
      <c r="ED86" s="75"/>
      <c r="EE86" s="76"/>
      <c r="EF86" s="76"/>
      <c r="EG86" s="74"/>
      <c r="EH86" s="75"/>
      <c r="EI86" s="76"/>
      <c r="EJ86" s="76"/>
      <c r="EK86" s="74"/>
      <c r="EL86" s="75"/>
      <c r="EM86" s="76"/>
      <c r="EN86" s="76"/>
      <c r="EO86" s="74"/>
      <c r="EP86" s="75"/>
      <c r="EQ86" s="76"/>
      <c r="ER86" s="76"/>
      <c r="ES86" s="74"/>
      <c r="ET86" s="75"/>
      <c r="EU86" s="76"/>
      <c r="EV86" s="76"/>
      <c r="EW86" s="74"/>
      <c r="EX86" s="75"/>
      <c r="EY86" s="76"/>
      <c r="EZ86" s="76"/>
      <c r="FA86" s="74"/>
      <c r="FB86" s="75"/>
      <c r="FC86" s="76"/>
      <c r="FD86" s="76"/>
      <c r="FE86" s="74"/>
      <c r="FF86" s="75"/>
      <c r="FG86" s="76"/>
      <c r="FH86" s="76"/>
      <c r="FI86" s="74"/>
      <c r="FJ86" s="75"/>
      <c r="FK86" s="76"/>
      <c r="FL86" s="76"/>
      <c r="FM86" s="74"/>
      <c r="FN86" s="75"/>
      <c r="FO86" s="76"/>
      <c r="FP86" s="76"/>
      <c r="FQ86" s="74"/>
      <c r="FR86" s="75"/>
      <c r="FS86" s="76"/>
      <c r="FT86" s="76"/>
      <c r="FU86" s="74"/>
      <c r="FV86" s="75"/>
      <c r="FW86" s="76"/>
      <c r="FX86" s="76"/>
      <c r="FY86" s="74"/>
      <c r="FZ86" s="75"/>
      <c r="GA86" s="76"/>
      <c r="GB86" s="76"/>
      <c r="GC86" s="74"/>
      <c r="GD86" s="75"/>
      <c r="GE86" s="76"/>
      <c r="GF86" s="76"/>
      <c r="GG86" s="74"/>
      <c r="GH86" s="75"/>
      <c r="GI86" s="76"/>
      <c r="GJ86" s="76"/>
      <c r="GK86" s="74"/>
      <c r="GL86" s="75"/>
      <c r="GM86" s="76"/>
      <c r="GN86" s="76"/>
      <c r="GO86" s="74"/>
      <c r="GP86" s="75"/>
      <c r="GQ86" s="76"/>
      <c r="GR86" s="76"/>
      <c r="GS86" s="74"/>
      <c r="GT86" s="75"/>
      <c r="GU86" s="76"/>
      <c r="GV86" s="76"/>
      <c r="GW86" s="74"/>
      <c r="GX86" s="75"/>
      <c r="GY86" s="76"/>
      <c r="GZ86" s="76"/>
      <c r="HA86" s="74"/>
      <c r="HB86" s="75"/>
      <c r="HC86" s="76"/>
      <c r="HD86" s="76"/>
      <c r="HE86" s="74"/>
      <c r="HF86" s="75"/>
      <c r="HG86" s="76"/>
      <c r="HH86" s="76"/>
      <c r="HI86" s="74"/>
      <c r="HJ86" s="75"/>
      <c r="HK86" s="76"/>
      <c r="HL86" s="76"/>
      <c r="HM86" s="74"/>
      <c r="HN86" s="75"/>
      <c r="HO86" s="76"/>
      <c r="HP86" s="76"/>
      <c r="HQ86" s="74"/>
      <c r="HR86" s="75"/>
      <c r="HS86" s="76"/>
      <c r="HT86" s="76"/>
      <c r="HU86" s="74"/>
      <c r="HV86" s="75"/>
      <c r="HW86" s="76"/>
      <c r="HX86" s="76"/>
      <c r="HY86" s="74"/>
      <c r="HZ86" s="75"/>
      <c r="IA86" s="76"/>
      <c r="IB86" s="76"/>
      <c r="IC86" s="74"/>
      <c r="ID86" s="75"/>
      <c r="IE86" s="76"/>
      <c r="IF86" s="76"/>
      <c r="IG86" s="74"/>
      <c r="IH86" s="75"/>
      <c r="II86" s="76"/>
      <c r="IJ86" s="76"/>
      <c r="IK86" s="74"/>
      <c r="IL86" s="75"/>
      <c r="IM86" s="76"/>
      <c r="IN86" s="76"/>
      <c r="IO86" s="74"/>
      <c r="IP86" s="75"/>
      <c r="IQ86" s="76"/>
      <c r="IR86" s="76"/>
      <c r="IS86" s="74"/>
      <c r="IT86" s="75"/>
      <c r="IU86" s="76"/>
      <c r="IV86" s="76"/>
    </row>
    <row r="87" spans="1:256" s="77" customFormat="1">
      <c r="A87" s="74"/>
      <c r="B87" s="78" t="s">
        <v>113</v>
      </c>
      <c r="C87" s="79">
        <f>C15/5000</f>
        <v>13.51845442098583</v>
      </c>
      <c r="D87" s="56"/>
      <c r="E87" s="56" t="s">
        <v>85</v>
      </c>
      <c r="F87" s="75"/>
      <c r="G87" s="76"/>
      <c r="H87" s="76"/>
      <c r="I87" s="74"/>
      <c r="J87" s="75"/>
      <c r="K87" s="76"/>
      <c r="L87" s="76"/>
      <c r="M87" s="74"/>
      <c r="N87" s="75"/>
      <c r="O87" s="76"/>
      <c r="P87" s="76"/>
      <c r="Q87" s="74"/>
      <c r="R87" s="75"/>
      <c r="S87" s="76"/>
      <c r="T87" s="76"/>
      <c r="U87" s="74"/>
      <c r="V87" s="75"/>
      <c r="W87" s="76"/>
      <c r="X87" s="76"/>
      <c r="Y87" s="74"/>
      <c r="Z87" s="75"/>
      <c r="AA87" s="76"/>
      <c r="AB87" s="76"/>
      <c r="AC87" s="74"/>
      <c r="AD87" s="75"/>
      <c r="AE87" s="76"/>
      <c r="AF87" s="76"/>
      <c r="AG87" s="74"/>
      <c r="AH87" s="75"/>
      <c r="AI87" s="76"/>
      <c r="AJ87" s="76"/>
      <c r="AK87" s="74"/>
      <c r="AL87" s="75"/>
      <c r="AM87" s="76"/>
      <c r="AN87" s="76"/>
      <c r="AO87" s="74"/>
      <c r="AP87" s="75"/>
      <c r="AQ87" s="76"/>
      <c r="AR87" s="76"/>
      <c r="AS87" s="74"/>
      <c r="AT87" s="75"/>
      <c r="AU87" s="76"/>
      <c r="AV87" s="76"/>
      <c r="AW87" s="74"/>
      <c r="AX87" s="75"/>
      <c r="AY87" s="76"/>
      <c r="AZ87" s="76"/>
      <c r="BA87" s="74"/>
      <c r="BB87" s="75"/>
      <c r="BC87" s="76"/>
      <c r="BD87" s="76"/>
      <c r="BE87" s="74"/>
      <c r="BF87" s="75"/>
      <c r="BG87" s="76"/>
      <c r="BH87" s="76"/>
      <c r="BI87" s="74"/>
      <c r="BJ87" s="75"/>
      <c r="BK87" s="76"/>
      <c r="BL87" s="76"/>
      <c r="BM87" s="74"/>
      <c r="BN87" s="75"/>
      <c r="BO87" s="76"/>
      <c r="BP87" s="76"/>
      <c r="BQ87" s="74"/>
      <c r="BR87" s="75"/>
      <c r="BS87" s="76"/>
      <c r="BT87" s="76"/>
      <c r="BU87" s="74"/>
      <c r="BV87" s="75"/>
      <c r="BW87" s="76"/>
      <c r="BX87" s="76"/>
      <c r="BY87" s="74"/>
      <c r="BZ87" s="75"/>
      <c r="CA87" s="76"/>
      <c r="CB87" s="76"/>
      <c r="CC87" s="74"/>
      <c r="CD87" s="75"/>
      <c r="CE87" s="76"/>
      <c r="CF87" s="76"/>
      <c r="CG87" s="74"/>
      <c r="CH87" s="75"/>
      <c r="CI87" s="76"/>
      <c r="CJ87" s="76"/>
      <c r="CK87" s="74"/>
      <c r="CL87" s="75"/>
      <c r="CM87" s="76"/>
      <c r="CN87" s="76"/>
      <c r="CO87" s="74"/>
      <c r="CP87" s="75"/>
      <c r="CQ87" s="76"/>
      <c r="CR87" s="76"/>
      <c r="CS87" s="74"/>
      <c r="CT87" s="75"/>
      <c r="CU87" s="76"/>
      <c r="CV87" s="76"/>
      <c r="CW87" s="74"/>
      <c r="CX87" s="75"/>
      <c r="CY87" s="76"/>
      <c r="CZ87" s="76"/>
      <c r="DA87" s="74"/>
      <c r="DB87" s="75"/>
      <c r="DC87" s="76"/>
      <c r="DD87" s="76"/>
      <c r="DE87" s="74"/>
      <c r="DF87" s="75"/>
      <c r="DG87" s="76"/>
      <c r="DH87" s="76"/>
      <c r="DI87" s="74"/>
      <c r="DJ87" s="75"/>
      <c r="DK87" s="76"/>
      <c r="DL87" s="76"/>
      <c r="DM87" s="74"/>
      <c r="DN87" s="75"/>
      <c r="DO87" s="76"/>
      <c r="DP87" s="76"/>
      <c r="DQ87" s="74"/>
      <c r="DR87" s="75"/>
      <c r="DS87" s="76"/>
      <c r="DT87" s="76"/>
      <c r="DU87" s="74"/>
      <c r="DV87" s="75"/>
      <c r="DW87" s="76"/>
      <c r="DX87" s="76"/>
      <c r="DY87" s="74"/>
      <c r="DZ87" s="75"/>
      <c r="EA87" s="76"/>
      <c r="EB87" s="76"/>
      <c r="EC87" s="74"/>
      <c r="ED87" s="75"/>
      <c r="EE87" s="76"/>
      <c r="EF87" s="76"/>
      <c r="EG87" s="74"/>
      <c r="EH87" s="75"/>
      <c r="EI87" s="76"/>
      <c r="EJ87" s="76"/>
      <c r="EK87" s="74"/>
      <c r="EL87" s="75"/>
      <c r="EM87" s="76"/>
      <c r="EN87" s="76"/>
      <c r="EO87" s="74"/>
      <c r="EP87" s="75"/>
      <c r="EQ87" s="76"/>
      <c r="ER87" s="76"/>
      <c r="ES87" s="74"/>
      <c r="ET87" s="75"/>
      <c r="EU87" s="76"/>
      <c r="EV87" s="76"/>
      <c r="EW87" s="74"/>
      <c r="EX87" s="75"/>
      <c r="EY87" s="76"/>
      <c r="EZ87" s="76"/>
      <c r="FA87" s="74"/>
      <c r="FB87" s="75"/>
      <c r="FC87" s="76"/>
      <c r="FD87" s="76"/>
      <c r="FE87" s="74"/>
      <c r="FF87" s="75"/>
      <c r="FG87" s="76"/>
      <c r="FH87" s="76"/>
      <c r="FI87" s="74"/>
      <c r="FJ87" s="75"/>
      <c r="FK87" s="76"/>
      <c r="FL87" s="76"/>
      <c r="FM87" s="74"/>
      <c r="FN87" s="75"/>
      <c r="FO87" s="76"/>
      <c r="FP87" s="76"/>
      <c r="FQ87" s="74"/>
      <c r="FR87" s="75"/>
      <c r="FS87" s="76"/>
      <c r="FT87" s="76"/>
      <c r="FU87" s="74"/>
      <c r="FV87" s="75"/>
      <c r="FW87" s="76"/>
      <c r="FX87" s="76"/>
      <c r="FY87" s="74"/>
      <c r="FZ87" s="75"/>
      <c r="GA87" s="76"/>
      <c r="GB87" s="76"/>
      <c r="GC87" s="74"/>
      <c r="GD87" s="75"/>
      <c r="GE87" s="76"/>
      <c r="GF87" s="76"/>
      <c r="GG87" s="74"/>
      <c r="GH87" s="75"/>
      <c r="GI87" s="76"/>
      <c r="GJ87" s="76"/>
      <c r="GK87" s="74"/>
      <c r="GL87" s="75"/>
      <c r="GM87" s="76"/>
      <c r="GN87" s="76"/>
      <c r="GO87" s="74"/>
      <c r="GP87" s="75"/>
      <c r="GQ87" s="76"/>
      <c r="GR87" s="76"/>
      <c r="GS87" s="74"/>
      <c r="GT87" s="75"/>
      <c r="GU87" s="76"/>
      <c r="GV87" s="76"/>
      <c r="GW87" s="74"/>
      <c r="GX87" s="75"/>
      <c r="GY87" s="76"/>
      <c r="GZ87" s="76"/>
      <c r="HA87" s="74"/>
      <c r="HB87" s="75"/>
      <c r="HC87" s="76"/>
      <c r="HD87" s="76"/>
      <c r="HE87" s="74"/>
      <c r="HF87" s="75"/>
      <c r="HG87" s="76"/>
      <c r="HH87" s="76"/>
      <c r="HI87" s="74"/>
      <c r="HJ87" s="75"/>
      <c r="HK87" s="76"/>
      <c r="HL87" s="76"/>
      <c r="HM87" s="74"/>
      <c r="HN87" s="75"/>
      <c r="HO87" s="76"/>
      <c r="HP87" s="76"/>
      <c r="HQ87" s="74"/>
      <c r="HR87" s="75"/>
      <c r="HS87" s="76"/>
      <c r="HT87" s="76"/>
      <c r="HU87" s="74"/>
      <c r="HV87" s="75"/>
      <c r="HW87" s="76"/>
      <c r="HX87" s="76"/>
      <c r="HY87" s="74"/>
      <c r="HZ87" s="75"/>
      <c r="IA87" s="76"/>
      <c r="IB87" s="76"/>
      <c r="IC87" s="74"/>
      <c r="ID87" s="75"/>
      <c r="IE87" s="76"/>
      <c r="IF87" s="76"/>
      <c r="IG87" s="74"/>
      <c r="IH87" s="75"/>
      <c r="II87" s="76"/>
      <c r="IJ87" s="76"/>
      <c r="IK87" s="74"/>
      <c r="IL87" s="75"/>
      <c r="IM87" s="76"/>
      <c r="IN87" s="76"/>
      <c r="IO87" s="74"/>
      <c r="IP87" s="75"/>
      <c r="IQ87" s="76"/>
      <c r="IR87" s="76"/>
      <c r="IS87" s="74"/>
      <c r="IT87" s="75"/>
      <c r="IU87" s="76"/>
      <c r="IV87" s="76"/>
    </row>
    <row r="88" spans="1:256" s="77" customFormat="1">
      <c r="A88" s="80"/>
      <c r="B88" s="81" t="s">
        <v>114</v>
      </c>
      <c r="C88" s="66">
        <f>C87*650*1.0851</f>
        <v>9534.7686799376206</v>
      </c>
      <c r="D88" s="55" t="s">
        <v>115</v>
      </c>
      <c r="E88" s="55" t="s">
        <v>116</v>
      </c>
      <c r="F88" s="23" t="s">
        <v>117</v>
      </c>
      <c r="G88" s="76"/>
      <c r="H88" s="76"/>
      <c r="I88" s="80"/>
      <c r="J88" s="82"/>
      <c r="K88" s="76"/>
      <c r="L88" s="76"/>
      <c r="M88" s="80"/>
      <c r="N88" s="82"/>
      <c r="O88" s="76"/>
      <c r="P88" s="76"/>
      <c r="Q88" s="80"/>
      <c r="R88" s="82"/>
      <c r="S88" s="76"/>
      <c r="T88" s="76"/>
      <c r="U88" s="80"/>
      <c r="V88" s="82"/>
      <c r="W88" s="76"/>
      <c r="X88" s="76"/>
      <c r="Y88" s="80"/>
      <c r="Z88" s="82"/>
      <c r="AA88" s="76"/>
      <c r="AB88" s="76"/>
      <c r="AC88" s="80"/>
      <c r="AD88" s="82"/>
      <c r="AE88" s="76"/>
      <c r="AF88" s="76"/>
      <c r="AG88" s="80"/>
      <c r="AH88" s="82"/>
      <c r="AI88" s="76"/>
      <c r="AJ88" s="76"/>
      <c r="AK88" s="80"/>
      <c r="AL88" s="82"/>
      <c r="AM88" s="76"/>
      <c r="AN88" s="76"/>
      <c r="AO88" s="80"/>
      <c r="AP88" s="82"/>
      <c r="AQ88" s="76"/>
      <c r="AR88" s="76"/>
      <c r="AS88" s="80"/>
      <c r="AT88" s="82"/>
      <c r="AU88" s="76"/>
      <c r="AV88" s="76"/>
      <c r="AW88" s="80"/>
      <c r="AX88" s="82"/>
      <c r="AY88" s="76"/>
      <c r="AZ88" s="76"/>
      <c r="BA88" s="80"/>
      <c r="BB88" s="82"/>
      <c r="BC88" s="76"/>
      <c r="BD88" s="76"/>
      <c r="BE88" s="80"/>
      <c r="BF88" s="82"/>
      <c r="BG88" s="76"/>
      <c r="BH88" s="76"/>
      <c r="BI88" s="80"/>
      <c r="BJ88" s="82"/>
      <c r="BK88" s="76"/>
      <c r="BL88" s="76"/>
      <c r="BM88" s="80"/>
      <c r="BN88" s="82"/>
      <c r="BO88" s="76"/>
      <c r="BP88" s="76"/>
      <c r="BQ88" s="80"/>
      <c r="BR88" s="82"/>
      <c r="BS88" s="76"/>
      <c r="BT88" s="76"/>
      <c r="BU88" s="80"/>
      <c r="BV88" s="82"/>
      <c r="BW88" s="76"/>
      <c r="BX88" s="76"/>
      <c r="BY88" s="80"/>
      <c r="BZ88" s="82"/>
      <c r="CA88" s="76"/>
      <c r="CB88" s="76"/>
      <c r="CC88" s="80"/>
      <c r="CD88" s="82"/>
      <c r="CE88" s="76"/>
      <c r="CF88" s="76"/>
      <c r="CG88" s="80"/>
      <c r="CH88" s="82"/>
      <c r="CI88" s="76"/>
      <c r="CJ88" s="76"/>
      <c r="CK88" s="80"/>
      <c r="CL88" s="82"/>
      <c r="CM88" s="76"/>
      <c r="CN88" s="76"/>
      <c r="CO88" s="80"/>
      <c r="CP88" s="82"/>
      <c r="CQ88" s="76"/>
      <c r="CR88" s="76"/>
      <c r="CS88" s="80"/>
      <c r="CT88" s="82"/>
      <c r="CU88" s="76"/>
      <c r="CV88" s="76"/>
      <c r="CW88" s="80"/>
      <c r="CX88" s="82"/>
      <c r="CY88" s="76"/>
      <c r="CZ88" s="76"/>
      <c r="DA88" s="80"/>
      <c r="DB88" s="82"/>
      <c r="DC88" s="76"/>
      <c r="DD88" s="76"/>
      <c r="DE88" s="80"/>
      <c r="DF88" s="82"/>
      <c r="DG88" s="76"/>
      <c r="DH88" s="76"/>
      <c r="DI88" s="80"/>
      <c r="DJ88" s="82"/>
      <c r="DK88" s="76"/>
      <c r="DL88" s="76"/>
      <c r="DM88" s="80"/>
      <c r="DN88" s="82"/>
      <c r="DO88" s="76"/>
      <c r="DP88" s="76"/>
      <c r="DQ88" s="80"/>
      <c r="DR88" s="82"/>
      <c r="DS88" s="76"/>
      <c r="DT88" s="76"/>
      <c r="DU88" s="80"/>
      <c r="DV88" s="82"/>
      <c r="DW88" s="76"/>
      <c r="DX88" s="76"/>
      <c r="DY88" s="80"/>
      <c r="DZ88" s="82"/>
      <c r="EA88" s="76"/>
      <c r="EB88" s="76"/>
      <c r="EC88" s="80"/>
      <c r="ED88" s="82"/>
      <c r="EE88" s="76"/>
      <c r="EF88" s="76"/>
      <c r="EG88" s="80"/>
      <c r="EH88" s="82"/>
      <c r="EI88" s="76"/>
      <c r="EJ88" s="76"/>
      <c r="EK88" s="80"/>
      <c r="EL88" s="82"/>
      <c r="EM88" s="76"/>
      <c r="EN88" s="76"/>
      <c r="EO88" s="80"/>
      <c r="EP88" s="82"/>
      <c r="EQ88" s="76"/>
      <c r="ER88" s="76"/>
      <c r="ES88" s="80"/>
      <c r="ET88" s="82"/>
      <c r="EU88" s="76"/>
      <c r="EV88" s="76"/>
      <c r="EW88" s="80"/>
      <c r="EX88" s="82"/>
      <c r="EY88" s="76"/>
      <c r="EZ88" s="76"/>
      <c r="FA88" s="80"/>
      <c r="FB88" s="82"/>
      <c r="FC88" s="76"/>
      <c r="FD88" s="76"/>
      <c r="FE88" s="80"/>
      <c r="FF88" s="82"/>
      <c r="FG88" s="76"/>
      <c r="FH88" s="76"/>
      <c r="FI88" s="80"/>
      <c r="FJ88" s="82"/>
      <c r="FK88" s="76"/>
      <c r="FL88" s="76"/>
      <c r="FM88" s="80"/>
      <c r="FN88" s="82"/>
      <c r="FO88" s="76"/>
      <c r="FP88" s="76"/>
      <c r="FQ88" s="80"/>
      <c r="FR88" s="82"/>
      <c r="FS88" s="76"/>
      <c r="FT88" s="76"/>
      <c r="FU88" s="80"/>
      <c r="FV88" s="82"/>
      <c r="FW88" s="76"/>
      <c r="FX88" s="76"/>
      <c r="FY88" s="80"/>
      <c r="FZ88" s="82"/>
      <c r="GA88" s="76"/>
      <c r="GB88" s="76"/>
      <c r="GC88" s="80"/>
      <c r="GD88" s="82"/>
      <c r="GE88" s="76"/>
      <c r="GF88" s="76"/>
      <c r="GG88" s="80"/>
      <c r="GH88" s="82"/>
      <c r="GI88" s="76"/>
      <c r="GJ88" s="76"/>
      <c r="GK88" s="80"/>
      <c r="GL88" s="82"/>
      <c r="GM88" s="76"/>
      <c r="GN88" s="76"/>
      <c r="GO88" s="80"/>
      <c r="GP88" s="82"/>
      <c r="GQ88" s="76"/>
      <c r="GR88" s="76"/>
      <c r="GS88" s="80"/>
      <c r="GT88" s="82"/>
      <c r="GU88" s="76"/>
      <c r="GV88" s="76"/>
      <c r="GW88" s="80"/>
      <c r="GX88" s="82"/>
      <c r="GY88" s="76"/>
      <c r="GZ88" s="76"/>
      <c r="HA88" s="80"/>
      <c r="HB88" s="82"/>
      <c r="HC88" s="76"/>
      <c r="HD88" s="76"/>
      <c r="HE88" s="80"/>
      <c r="HF88" s="82"/>
      <c r="HG88" s="76"/>
      <c r="HH88" s="76"/>
      <c r="HI88" s="80"/>
      <c r="HJ88" s="82"/>
      <c r="HK88" s="76"/>
      <c r="HL88" s="76"/>
      <c r="HM88" s="80"/>
      <c r="HN88" s="82"/>
      <c r="HO88" s="76"/>
      <c r="HP88" s="76"/>
      <c r="HQ88" s="80"/>
      <c r="HR88" s="82"/>
      <c r="HS88" s="76"/>
      <c r="HT88" s="76"/>
      <c r="HU88" s="80"/>
      <c r="HV88" s="82"/>
      <c r="HW88" s="76"/>
      <c r="HX88" s="76"/>
      <c r="HY88" s="80"/>
      <c r="HZ88" s="82"/>
      <c r="IA88" s="76"/>
      <c r="IB88" s="76"/>
      <c r="IC88" s="80"/>
      <c r="ID88" s="82"/>
      <c r="IE88" s="76"/>
      <c r="IF88" s="76"/>
      <c r="IG88" s="80"/>
      <c r="IH88" s="82"/>
      <c r="II88" s="76"/>
      <c r="IJ88" s="76"/>
      <c r="IK88" s="80"/>
      <c r="IL88" s="82"/>
      <c r="IM88" s="76"/>
      <c r="IN88" s="76"/>
      <c r="IO88" s="80"/>
      <c r="IP88" s="82"/>
      <c r="IQ88" s="76"/>
      <c r="IR88" s="76"/>
      <c r="IS88" s="80"/>
      <c r="IT88" s="82"/>
      <c r="IU88" s="76"/>
      <c r="IV88" s="76"/>
    </row>
    <row r="89" spans="1:256" s="77" customFormat="1">
      <c r="A89" s="80"/>
      <c r="B89" s="81" t="s">
        <v>118</v>
      </c>
      <c r="C89" s="66">
        <f>(0/100)*C88</f>
        <v>0</v>
      </c>
      <c r="D89" s="55" t="s">
        <v>119</v>
      </c>
      <c r="E89" s="55" t="s">
        <v>79</v>
      </c>
      <c r="F89" s="82"/>
      <c r="G89" s="76"/>
      <c r="H89" s="76"/>
      <c r="I89" s="80"/>
      <c r="J89" s="82"/>
      <c r="K89" s="76"/>
      <c r="L89" s="76"/>
      <c r="M89" s="80"/>
      <c r="N89" s="82"/>
      <c r="O89" s="76"/>
      <c r="P89" s="76"/>
      <c r="Q89" s="80"/>
      <c r="R89" s="82"/>
      <c r="S89" s="76"/>
      <c r="T89" s="76"/>
      <c r="U89" s="80"/>
      <c r="V89" s="82"/>
      <c r="W89" s="76"/>
      <c r="X89" s="76"/>
      <c r="Y89" s="80"/>
      <c r="Z89" s="82"/>
      <c r="AA89" s="76"/>
      <c r="AB89" s="76"/>
      <c r="AC89" s="80"/>
      <c r="AD89" s="82"/>
      <c r="AE89" s="76"/>
      <c r="AF89" s="76"/>
      <c r="AG89" s="80"/>
      <c r="AH89" s="82"/>
      <c r="AI89" s="76"/>
      <c r="AJ89" s="76"/>
      <c r="AK89" s="80"/>
      <c r="AL89" s="82"/>
      <c r="AM89" s="76"/>
      <c r="AN89" s="76"/>
      <c r="AO89" s="80"/>
      <c r="AP89" s="82"/>
      <c r="AQ89" s="76"/>
      <c r="AR89" s="76"/>
      <c r="AS89" s="80"/>
      <c r="AT89" s="82"/>
      <c r="AU89" s="76"/>
      <c r="AV89" s="76"/>
      <c r="AW89" s="80"/>
      <c r="AX89" s="82"/>
      <c r="AY89" s="76"/>
      <c r="AZ89" s="76"/>
      <c r="BA89" s="80"/>
      <c r="BB89" s="82"/>
      <c r="BC89" s="76"/>
      <c r="BD89" s="76"/>
      <c r="BE89" s="80"/>
      <c r="BF89" s="82"/>
      <c r="BG89" s="76"/>
      <c r="BH89" s="76"/>
      <c r="BI89" s="80"/>
      <c r="BJ89" s="82"/>
      <c r="BK89" s="76"/>
      <c r="BL89" s="76"/>
      <c r="BM89" s="80"/>
      <c r="BN89" s="82"/>
      <c r="BO89" s="76"/>
      <c r="BP89" s="76"/>
      <c r="BQ89" s="80"/>
      <c r="BR89" s="82"/>
      <c r="BS89" s="76"/>
      <c r="BT89" s="76"/>
      <c r="BU89" s="80"/>
      <c r="BV89" s="82"/>
      <c r="BW89" s="76"/>
      <c r="BX89" s="76"/>
      <c r="BY89" s="80"/>
      <c r="BZ89" s="82"/>
      <c r="CA89" s="76"/>
      <c r="CB89" s="76"/>
      <c r="CC89" s="80"/>
      <c r="CD89" s="82"/>
      <c r="CE89" s="76"/>
      <c r="CF89" s="76"/>
      <c r="CG89" s="80"/>
      <c r="CH89" s="82"/>
      <c r="CI89" s="76"/>
      <c r="CJ89" s="76"/>
      <c r="CK89" s="80"/>
      <c r="CL89" s="82"/>
      <c r="CM89" s="76"/>
      <c r="CN89" s="76"/>
      <c r="CO89" s="80"/>
      <c r="CP89" s="82"/>
      <c r="CQ89" s="76"/>
      <c r="CR89" s="76"/>
      <c r="CS89" s="80"/>
      <c r="CT89" s="82"/>
      <c r="CU89" s="76"/>
      <c r="CV89" s="76"/>
      <c r="CW89" s="80"/>
      <c r="CX89" s="82"/>
      <c r="CY89" s="76"/>
      <c r="CZ89" s="76"/>
      <c r="DA89" s="80"/>
      <c r="DB89" s="82"/>
      <c r="DC89" s="76"/>
      <c r="DD89" s="76"/>
      <c r="DE89" s="80"/>
      <c r="DF89" s="82"/>
      <c r="DG89" s="76"/>
      <c r="DH89" s="76"/>
      <c r="DI89" s="80"/>
      <c r="DJ89" s="82"/>
      <c r="DK89" s="76"/>
      <c r="DL89" s="76"/>
      <c r="DM89" s="80"/>
      <c r="DN89" s="82"/>
      <c r="DO89" s="76"/>
      <c r="DP89" s="76"/>
      <c r="DQ89" s="80"/>
      <c r="DR89" s="82"/>
      <c r="DS89" s="76"/>
      <c r="DT89" s="76"/>
      <c r="DU89" s="80"/>
      <c r="DV89" s="82"/>
      <c r="DW89" s="76"/>
      <c r="DX89" s="76"/>
      <c r="DY89" s="80"/>
      <c r="DZ89" s="82"/>
      <c r="EA89" s="76"/>
      <c r="EB89" s="76"/>
      <c r="EC89" s="80"/>
      <c r="ED89" s="82"/>
      <c r="EE89" s="76"/>
      <c r="EF89" s="76"/>
      <c r="EG89" s="80"/>
      <c r="EH89" s="82"/>
      <c r="EI89" s="76"/>
      <c r="EJ89" s="76"/>
      <c r="EK89" s="80"/>
      <c r="EL89" s="82"/>
      <c r="EM89" s="76"/>
      <c r="EN89" s="76"/>
      <c r="EO89" s="80"/>
      <c r="EP89" s="82"/>
      <c r="EQ89" s="76"/>
      <c r="ER89" s="76"/>
      <c r="ES89" s="80"/>
      <c r="ET89" s="82"/>
      <c r="EU89" s="76"/>
      <c r="EV89" s="76"/>
      <c r="EW89" s="80"/>
      <c r="EX89" s="82"/>
      <c r="EY89" s="76"/>
      <c r="EZ89" s="76"/>
      <c r="FA89" s="80"/>
      <c r="FB89" s="82"/>
      <c r="FC89" s="76"/>
      <c r="FD89" s="76"/>
      <c r="FE89" s="80"/>
      <c r="FF89" s="82"/>
      <c r="FG89" s="76"/>
      <c r="FH89" s="76"/>
      <c r="FI89" s="80"/>
      <c r="FJ89" s="82"/>
      <c r="FK89" s="76"/>
      <c r="FL89" s="76"/>
      <c r="FM89" s="80"/>
      <c r="FN89" s="82"/>
      <c r="FO89" s="76"/>
      <c r="FP89" s="76"/>
      <c r="FQ89" s="80"/>
      <c r="FR89" s="82"/>
      <c r="FS89" s="76"/>
      <c r="FT89" s="76"/>
      <c r="FU89" s="80"/>
      <c r="FV89" s="82"/>
      <c r="FW89" s="76"/>
      <c r="FX89" s="76"/>
      <c r="FY89" s="80"/>
      <c r="FZ89" s="82"/>
      <c r="GA89" s="76"/>
      <c r="GB89" s="76"/>
      <c r="GC89" s="80"/>
      <c r="GD89" s="82"/>
      <c r="GE89" s="76"/>
      <c r="GF89" s="76"/>
      <c r="GG89" s="80"/>
      <c r="GH89" s="82"/>
      <c r="GI89" s="76"/>
      <c r="GJ89" s="76"/>
      <c r="GK89" s="80"/>
      <c r="GL89" s="82"/>
      <c r="GM89" s="76"/>
      <c r="GN89" s="76"/>
      <c r="GO89" s="80"/>
      <c r="GP89" s="82"/>
      <c r="GQ89" s="76"/>
      <c r="GR89" s="76"/>
      <c r="GS89" s="80"/>
      <c r="GT89" s="82"/>
      <c r="GU89" s="76"/>
      <c r="GV89" s="76"/>
      <c r="GW89" s="80"/>
      <c r="GX89" s="82"/>
      <c r="GY89" s="76"/>
      <c r="GZ89" s="76"/>
      <c r="HA89" s="80"/>
      <c r="HB89" s="82"/>
      <c r="HC89" s="76"/>
      <c r="HD89" s="76"/>
      <c r="HE89" s="80"/>
      <c r="HF89" s="82"/>
      <c r="HG89" s="76"/>
      <c r="HH89" s="76"/>
      <c r="HI89" s="80"/>
      <c r="HJ89" s="82"/>
      <c r="HK89" s="76"/>
      <c r="HL89" s="76"/>
      <c r="HM89" s="80"/>
      <c r="HN89" s="82"/>
      <c r="HO89" s="76"/>
      <c r="HP89" s="76"/>
      <c r="HQ89" s="80"/>
      <c r="HR89" s="82"/>
      <c r="HS89" s="76"/>
      <c r="HT89" s="76"/>
      <c r="HU89" s="80"/>
      <c r="HV89" s="82"/>
      <c r="HW89" s="76"/>
      <c r="HX89" s="76"/>
      <c r="HY89" s="80"/>
      <c r="HZ89" s="82"/>
      <c r="IA89" s="76"/>
      <c r="IB89" s="76"/>
      <c r="IC89" s="80"/>
      <c r="ID89" s="82"/>
      <c r="IE89" s="76"/>
      <c r="IF89" s="76"/>
      <c r="IG89" s="80"/>
      <c r="IH89" s="82"/>
      <c r="II89" s="76"/>
      <c r="IJ89" s="76"/>
      <c r="IK89" s="80"/>
      <c r="IL89" s="82"/>
      <c r="IM89" s="76"/>
      <c r="IN89" s="76"/>
      <c r="IO89" s="80"/>
      <c r="IP89" s="82"/>
      <c r="IQ89" s="76"/>
      <c r="IR89" s="76"/>
      <c r="IS89" s="80"/>
      <c r="IT89" s="82"/>
      <c r="IU89" s="76"/>
      <c r="IV89" s="76"/>
    </row>
    <row r="90" spans="1:256" s="77" customFormat="1">
      <c r="A90" s="80"/>
      <c r="B90" s="81" t="s">
        <v>120</v>
      </c>
      <c r="C90" s="54">
        <v>3</v>
      </c>
      <c r="D90" s="55" t="s">
        <v>121</v>
      </c>
      <c r="E90" s="55" t="s">
        <v>79</v>
      </c>
      <c r="F90" s="75"/>
      <c r="G90" s="76"/>
      <c r="H90" s="76"/>
      <c r="I90" s="80"/>
      <c r="J90" s="75"/>
      <c r="K90" s="76"/>
      <c r="L90" s="76"/>
      <c r="M90" s="80"/>
      <c r="N90" s="75"/>
      <c r="O90" s="76"/>
      <c r="P90" s="76"/>
      <c r="Q90" s="80"/>
      <c r="R90" s="75"/>
      <c r="S90" s="76"/>
      <c r="T90" s="76"/>
      <c r="U90" s="80"/>
      <c r="V90" s="75"/>
      <c r="W90" s="76"/>
      <c r="X90" s="76"/>
      <c r="Y90" s="80"/>
      <c r="Z90" s="75"/>
      <c r="AA90" s="76"/>
      <c r="AB90" s="76"/>
      <c r="AC90" s="80"/>
      <c r="AD90" s="75"/>
      <c r="AE90" s="76"/>
      <c r="AF90" s="76"/>
      <c r="AG90" s="80"/>
      <c r="AH90" s="75"/>
      <c r="AI90" s="76"/>
      <c r="AJ90" s="76"/>
      <c r="AK90" s="80"/>
      <c r="AL90" s="75"/>
      <c r="AM90" s="76"/>
      <c r="AN90" s="76"/>
      <c r="AO90" s="80"/>
      <c r="AP90" s="75"/>
      <c r="AQ90" s="76"/>
      <c r="AR90" s="76"/>
      <c r="AS90" s="80"/>
      <c r="AT90" s="75"/>
      <c r="AU90" s="76"/>
      <c r="AV90" s="76"/>
      <c r="AW90" s="80"/>
      <c r="AX90" s="75"/>
      <c r="AY90" s="76"/>
      <c r="AZ90" s="76"/>
      <c r="BA90" s="80"/>
      <c r="BB90" s="75"/>
      <c r="BC90" s="76"/>
      <c r="BD90" s="76"/>
      <c r="BE90" s="80"/>
      <c r="BF90" s="75"/>
      <c r="BG90" s="76"/>
      <c r="BH90" s="76"/>
      <c r="BI90" s="80"/>
      <c r="BJ90" s="75"/>
      <c r="BK90" s="76"/>
      <c r="BL90" s="76"/>
      <c r="BM90" s="80"/>
      <c r="BN90" s="75"/>
      <c r="BO90" s="76"/>
      <c r="BP90" s="76"/>
      <c r="BQ90" s="80"/>
      <c r="BR90" s="75"/>
      <c r="BS90" s="76"/>
      <c r="BT90" s="76"/>
      <c r="BU90" s="80"/>
      <c r="BV90" s="75"/>
      <c r="BW90" s="76"/>
      <c r="BX90" s="76"/>
      <c r="BY90" s="80"/>
      <c r="BZ90" s="75"/>
      <c r="CA90" s="76"/>
      <c r="CB90" s="76"/>
      <c r="CC90" s="80"/>
      <c r="CD90" s="75"/>
      <c r="CE90" s="76"/>
      <c r="CF90" s="76"/>
      <c r="CG90" s="80"/>
      <c r="CH90" s="75"/>
      <c r="CI90" s="76"/>
      <c r="CJ90" s="76"/>
      <c r="CK90" s="80"/>
      <c r="CL90" s="75"/>
      <c r="CM90" s="76"/>
      <c r="CN90" s="76"/>
      <c r="CO90" s="80"/>
      <c r="CP90" s="75"/>
      <c r="CQ90" s="76"/>
      <c r="CR90" s="76"/>
      <c r="CS90" s="80"/>
      <c r="CT90" s="75"/>
      <c r="CU90" s="76"/>
      <c r="CV90" s="76"/>
      <c r="CW90" s="80"/>
      <c r="CX90" s="75"/>
      <c r="CY90" s="76"/>
      <c r="CZ90" s="76"/>
      <c r="DA90" s="80"/>
      <c r="DB90" s="75"/>
      <c r="DC90" s="76"/>
      <c r="DD90" s="76"/>
      <c r="DE90" s="80"/>
      <c r="DF90" s="75"/>
      <c r="DG90" s="76"/>
      <c r="DH90" s="76"/>
      <c r="DI90" s="80"/>
      <c r="DJ90" s="75"/>
      <c r="DK90" s="76"/>
      <c r="DL90" s="76"/>
      <c r="DM90" s="80"/>
      <c r="DN90" s="75"/>
      <c r="DO90" s="76"/>
      <c r="DP90" s="76"/>
      <c r="DQ90" s="80"/>
      <c r="DR90" s="75"/>
      <c r="DS90" s="76"/>
      <c r="DT90" s="76"/>
      <c r="DU90" s="80"/>
      <c r="DV90" s="75"/>
      <c r="DW90" s="76"/>
      <c r="DX90" s="76"/>
      <c r="DY90" s="80"/>
      <c r="DZ90" s="75"/>
      <c r="EA90" s="76"/>
      <c r="EB90" s="76"/>
      <c r="EC90" s="80"/>
      <c r="ED90" s="75"/>
      <c r="EE90" s="76"/>
      <c r="EF90" s="76"/>
      <c r="EG90" s="80"/>
      <c r="EH90" s="75"/>
      <c r="EI90" s="76"/>
      <c r="EJ90" s="76"/>
      <c r="EK90" s="80"/>
      <c r="EL90" s="75"/>
      <c r="EM90" s="76"/>
      <c r="EN90" s="76"/>
      <c r="EO90" s="80"/>
      <c r="EP90" s="75"/>
      <c r="EQ90" s="76"/>
      <c r="ER90" s="76"/>
      <c r="ES90" s="80"/>
      <c r="ET90" s="75"/>
      <c r="EU90" s="76"/>
      <c r="EV90" s="76"/>
      <c r="EW90" s="80"/>
      <c r="EX90" s="75"/>
      <c r="EY90" s="76"/>
      <c r="EZ90" s="76"/>
      <c r="FA90" s="80"/>
      <c r="FB90" s="75"/>
      <c r="FC90" s="76"/>
      <c r="FD90" s="76"/>
      <c r="FE90" s="80"/>
      <c r="FF90" s="75"/>
      <c r="FG90" s="76"/>
      <c r="FH90" s="76"/>
      <c r="FI90" s="80"/>
      <c r="FJ90" s="75"/>
      <c r="FK90" s="76"/>
      <c r="FL90" s="76"/>
      <c r="FM90" s="80"/>
      <c r="FN90" s="75"/>
      <c r="FO90" s="76"/>
      <c r="FP90" s="76"/>
      <c r="FQ90" s="80"/>
      <c r="FR90" s="75"/>
      <c r="FS90" s="76"/>
      <c r="FT90" s="76"/>
      <c r="FU90" s="80"/>
      <c r="FV90" s="75"/>
      <c r="FW90" s="76"/>
      <c r="FX90" s="76"/>
      <c r="FY90" s="80"/>
      <c r="FZ90" s="75"/>
      <c r="GA90" s="76"/>
      <c r="GB90" s="76"/>
      <c r="GC90" s="80"/>
      <c r="GD90" s="75"/>
      <c r="GE90" s="76"/>
      <c r="GF90" s="76"/>
      <c r="GG90" s="80"/>
      <c r="GH90" s="75"/>
      <c r="GI90" s="76"/>
      <c r="GJ90" s="76"/>
      <c r="GK90" s="80"/>
      <c r="GL90" s="75"/>
      <c r="GM90" s="76"/>
      <c r="GN90" s="76"/>
      <c r="GO90" s="80"/>
      <c r="GP90" s="75"/>
      <c r="GQ90" s="76"/>
      <c r="GR90" s="76"/>
      <c r="GS90" s="80"/>
      <c r="GT90" s="75"/>
      <c r="GU90" s="76"/>
      <c r="GV90" s="76"/>
      <c r="GW90" s="80"/>
      <c r="GX90" s="75"/>
      <c r="GY90" s="76"/>
      <c r="GZ90" s="76"/>
      <c r="HA90" s="80"/>
      <c r="HB90" s="75"/>
      <c r="HC90" s="76"/>
      <c r="HD90" s="76"/>
      <c r="HE90" s="80"/>
      <c r="HF90" s="75"/>
      <c r="HG90" s="76"/>
      <c r="HH90" s="76"/>
      <c r="HI90" s="80"/>
      <c r="HJ90" s="75"/>
      <c r="HK90" s="76"/>
      <c r="HL90" s="76"/>
      <c r="HM90" s="80"/>
      <c r="HN90" s="75"/>
      <c r="HO90" s="76"/>
      <c r="HP90" s="76"/>
      <c r="HQ90" s="80"/>
      <c r="HR90" s="75"/>
      <c r="HS90" s="76"/>
      <c r="HT90" s="76"/>
      <c r="HU90" s="80"/>
      <c r="HV90" s="75"/>
      <c r="HW90" s="76"/>
      <c r="HX90" s="76"/>
      <c r="HY90" s="80"/>
      <c r="HZ90" s="75"/>
      <c r="IA90" s="76"/>
      <c r="IB90" s="76"/>
      <c r="IC90" s="80"/>
      <c r="ID90" s="75"/>
      <c r="IE90" s="76"/>
      <c r="IF90" s="76"/>
      <c r="IG90" s="80"/>
      <c r="IH90" s="75"/>
      <c r="II90" s="76"/>
      <c r="IJ90" s="76"/>
      <c r="IK90" s="80"/>
      <c r="IL90" s="75"/>
      <c r="IM90" s="76"/>
      <c r="IN90" s="76"/>
      <c r="IO90" s="80"/>
      <c r="IP90" s="75"/>
      <c r="IQ90" s="76"/>
      <c r="IR90" s="76"/>
      <c r="IS90" s="80"/>
      <c r="IT90" s="75"/>
      <c r="IU90" s="76"/>
      <c r="IV90" s="76"/>
    </row>
    <row r="91" spans="1:256" s="77" customFormat="1">
      <c r="A91" s="80"/>
      <c r="B91" s="81" t="s">
        <v>122</v>
      </c>
      <c r="C91" s="83">
        <f>C13</f>
        <v>7</v>
      </c>
      <c r="D91" s="55" t="s">
        <v>123</v>
      </c>
      <c r="E91" s="55" t="s">
        <v>79</v>
      </c>
      <c r="F91" s="84"/>
      <c r="G91" s="76"/>
      <c r="H91" s="76"/>
      <c r="I91" s="80"/>
      <c r="J91" s="84"/>
      <c r="K91" s="76"/>
      <c r="L91" s="76"/>
      <c r="M91" s="80"/>
      <c r="N91" s="84"/>
      <c r="O91" s="76"/>
      <c r="P91" s="76"/>
      <c r="Q91" s="80"/>
      <c r="R91" s="84"/>
      <c r="S91" s="76"/>
      <c r="T91" s="76"/>
      <c r="U91" s="80"/>
      <c r="V91" s="84"/>
      <c r="W91" s="76"/>
      <c r="X91" s="76"/>
      <c r="Y91" s="80"/>
      <c r="Z91" s="84"/>
      <c r="AA91" s="76"/>
      <c r="AB91" s="76"/>
      <c r="AC91" s="80"/>
      <c r="AD91" s="84"/>
      <c r="AE91" s="76"/>
      <c r="AF91" s="76"/>
      <c r="AG91" s="80"/>
      <c r="AH91" s="84"/>
      <c r="AI91" s="76"/>
      <c r="AJ91" s="76"/>
      <c r="AK91" s="80"/>
      <c r="AL91" s="84"/>
      <c r="AM91" s="76"/>
      <c r="AN91" s="76"/>
      <c r="AO91" s="80"/>
      <c r="AP91" s="84"/>
      <c r="AQ91" s="76"/>
      <c r="AR91" s="76"/>
      <c r="AS91" s="80"/>
      <c r="AT91" s="84"/>
      <c r="AU91" s="76"/>
      <c r="AV91" s="76"/>
      <c r="AW91" s="80"/>
      <c r="AX91" s="84"/>
      <c r="AY91" s="76"/>
      <c r="AZ91" s="76"/>
      <c r="BA91" s="80"/>
      <c r="BB91" s="84"/>
      <c r="BC91" s="76"/>
      <c r="BD91" s="76"/>
      <c r="BE91" s="80"/>
      <c r="BF91" s="84"/>
      <c r="BG91" s="76"/>
      <c r="BH91" s="76"/>
      <c r="BI91" s="80"/>
      <c r="BJ91" s="84"/>
      <c r="BK91" s="76"/>
      <c r="BL91" s="76"/>
      <c r="BM91" s="80"/>
      <c r="BN91" s="84"/>
      <c r="BO91" s="76"/>
      <c r="BP91" s="76"/>
      <c r="BQ91" s="80"/>
      <c r="BR91" s="84"/>
      <c r="BS91" s="76"/>
      <c r="BT91" s="76"/>
      <c r="BU91" s="80"/>
      <c r="BV91" s="84"/>
      <c r="BW91" s="76"/>
      <c r="BX91" s="76"/>
      <c r="BY91" s="80"/>
      <c r="BZ91" s="84"/>
      <c r="CA91" s="76"/>
      <c r="CB91" s="76"/>
      <c r="CC91" s="80"/>
      <c r="CD91" s="84"/>
      <c r="CE91" s="76"/>
      <c r="CF91" s="76"/>
      <c r="CG91" s="80"/>
      <c r="CH91" s="84"/>
      <c r="CI91" s="76"/>
      <c r="CJ91" s="76"/>
      <c r="CK91" s="80"/>
      <c r="CL91" s="84"/>
      <c r="CM91" s="76"/>
      <c r="CN91" s="76"/>
      <c r="CO91" s="80"/>
      <c r="CP91" s="84"/>
      <c r="CQ91" s="76"/>
      <c r="CR91" s="76"/>
      <c r="CS91" s="80"/>
      <c r="CT91" s="84"/>
      <c r="CU91" s="76"/>
      <c r="CV91" s="76"/>
      <c r="CW91" s="80"/>
      <c r="CX91" s="84"/>
      <c r="CY91" s="76"/>
      <c r="CZ91" s="76"/>
      <c r="DA91" s="80"/>
      <c r="DB91" s="84"/>
      <c r="DC91" s="76"/>
      <c r="DD91" s="76"/>
      <c r="DE91" s="80"/>
      <c r="DF91" s="84"/>
      <c r="DG91" s="76"/>
      <c r="DH91" s="76"/>
      <c r="DI91" s="80"/>
      <c r="DJ91" s="84"/>
      <c r="DK91" s="76"/>
      <c r="DL91" s="76"/>
      <c r="DM91" s="80"/>
      <c r="DN91" s="84"/>
      <c r="DO91" s="76"/>
      <c r="DP91" s="76"/>
      <c r="DQ91" s="80"/>
      <c r="DR91" s="84"/>
      <c r="DS91" s="76"/>
      <c r="DT91" s="76"/>
      <c r="DU91" s="80"/>
      <c r="DV91" s="84"/>
      <c r="DW91" s="76"/>
      <c r="DX91" s="76"/>
      <c r="DY91" s="80"/>
      <c r="DZ91" s="84"/>
      <c r="EA91" s="76"/>
      <c r="EB91" s="76"/>
      <c r="EC91" s="80"/>
      <c r="ED91" s="84"/>
      <c r="EE91" s="76"/>
      <c r="EF91" s="76"/>
      <c r="EG91" s="80"/>
      <c r="EH91" s="84"/>
      <c r="EI91" s="76"/>
      <c r="EJ91" s="76"/>
      <c r="EK91" s="80"/>
      <c r="EL91" s="84"/>
      <c r="EM91" s="76"/>
      <c r="EN91" s="76"/>
      <c r="EO91" s="80"/>
      <c r="EP91" s="84"/>
      <c r="EQ91" s="76"/>
      <c r="ER91" s="76"/>
      <c r="ES91" s="80"/>
      <c r="ET91" s="84"/>
      <c r="EU91" s="76"/>
      <c r="EV91" s="76"/>
      <c r="EW91" s="80"/>
      <c r="EX91" s="84"/>
      <c r="EY91" s="76"/>
      <c r="EZ91" s="76"/>
      <c r="FA91" s="80"/>
      <c r="FB91" s="84"/>
      <c r="FC91" s="76"/>
      <c r="FD91" s="76"/>
      <c r="FE91" s="80"/>
      <c r="FF91" s="84"/>
      <c r="FG91" s="76"/>
      <c r="FH91" s="76"/>
      <c r="FI91" s="80"/>
      <c r="FJ91" s="84"/>
      <c r="FK91" s="76"/>
      <c r="FL91" s="76"/>
      <c r="FM91" s="80"/>
      <c r="FN91" s="84"/>
      <c r="FO91" s="76"/>
      <c r="FP91" s="76"/>
      <c r="FQ91" s="80"/>
      <c r="FR91" s="84"/>
      <c r="FS91" s="76"/>
      <c r="FT91" s="76"/>
      <c r="FU91" s="80"/>
      <c r="FV91" s="84"/>
      <c r="FW91" s="76"/>
      <c r="FX91" s="76"/>
      <c r="FY91" s="80"/>
      <c r="FZ91" s="84"/>
      <c r="GA91" s="76"/>
      <c r="GB91" s="76"/>
      <c r="GC91" s="80"/>
      <c r="GD91" s="84"/>
      <c r="GE91" s="76"/>
      <c r="GF91" s="76"/>
      <c r="GG91" s="80"/>
      <c r="GH91" s="84"/>
      <c r="GI91" s="76"/>
      <c r="GJ91" s="76"/>
      <c r="GK91" s="80"/>
      <c r="GL91" s="84"/>
      <c r="GM91" s="76"/>
      <c r="GN91" s="76"/>
      <c r="GO91" s="80"/>
      <c r="GP91" s="84"/>
      <c r="GQ91" s="76"/>
      <c r="GR91" s="76"/>
      <c r="GS91" s="80"/>
      <c r="GT91" s="84"/>
      <c r="GU91" s="76"/>
      <c r="GV91" s="76"/>
      <c r="GW91" s="80"/>
      <c r="GX91" s="84"/>
      <c r="GY91" s="76"/>
      <c r="GZ91" s="76"/>
      <c r="HA91" s="80"/>
      <c r="HB91" s="84"/>
      <c r="HC91" s="76"/>
      <c r="HD91" s="76"/>
      <c r="HE91" s="80"/>
      <c r="HF91" s="84"/>
      <c r="HG91" s="76"/>
      <c r="HH91" s="76"/>
      <c r="HI91" s="80"/>
      <c r="HJ91" s="84"/>
      <c r="HK91" s="76"/>
      <c r="HL91" s="76"/>
      <c r="HM91" s="80"/>
      <c r="HN91" s="84"/>
      <c r="HO91" s="76"/>
      <c r="HP91" s="76"/>
      <c r="HQ91" s="80"/>
      <c r="HR91" s="84"/>
      <c r="HS91" s="76"/>
      <c r="HT91" s="76"/>
      <c r="HU91" s="80"/>
      <c r="HV91" s="84"/>
      <c r="HW91" s="76"/>
      <c r="HX91" s="76"/>
      <c r="HY91" s="80"/>
      <c r="HZ91" s="84"/>
      <c r="IA91" s="76"/>
      <c r="IB91" s="76"/>
      <c r="IC91" s="80"/>
      <c r="ID91" s="84"/>
      <c r="IE91" s="76"/>
      <c r="IF91" s="76"/>
      <c r="IG91" s="80"/>
      <c r="IH91" s="84"/>
      <c r="II91" s="76"/>
      <c r="IJ91" s="76"/>
      <c r="IK91" s="80"/>
      <c r="IL91" s="84"/>
      <c r="IM91" s="76"/>
      <c r="IN91" s="76"/>
      <c r="IO91" s="80"/>
      <c r="IP91" s="84"/>
      <c r="IQ91" s="76"/>
      <c r="IR91" s="76"/>
      <c r="IS91" s="80"/>
      <c r="IT91" s="84"/>
      <c r="IU91" s="76"/>
      <c r="IV91" s="76"/>
    </row>
    <row r="92" spans="1:256" s="77" customFormat="1">
      <c r="A92" s="80"/>
      <c r="B92" s="81" t="s">
        <v>124</v>
      </c>
      <c r="C92" s="85">
        <f>((+C91/100)*((1+C91/100)^C90))/(((1+C91/100)^C90)-1)</f>
        <v>0.38105166568166965</v>
      </c>
      <c r="D92" s="55" t="s">
        <v>125</v>
      </c>
      <c r="E92" s="55" t="s">
        <v>85</v>
      </c>
      <c r="F92" s="86"/>
      <c r="G92" s="76"/>
      <c r="H92" s="76"/>
      <c r="I92" s="80"/>
      <c r="J92" s="86"/>
      <c r="K92" s="76"/>
      <c r="L92" s="76"/>
      <c r="M92" s="80"/>
      <c r="N92" s="86"/>
      <c r="O92" s="76"/>
      <c r="P92" s="76"/>
      <c r="Q92" s="80"/>
      <c r="R92" s="86"/>
      <c r="S92" s="76"/>
      <c r="T92" s="76"/>
      <c r="U92" s="80"/>
      <c r="V92" s="86"/>
      <c r="W92" s="76"/>
      <c r="X92" s="76"/>
      <c r="Y92" s="80"/>
      <c r="Z92" s="86"/>
      <c r="AA92" s="76"/>
      <c r="AB92" s="76"/>
      <c r="AC92" s="80"/>
      <c r="AD92" s="86"/>
      <c r="AE92" s="76"/>
      <c r="AF92" s="76"/>
      <c r="AG92" s="80"/>
      <c r="AH92" s="86"/>
      <c r="AI92" s="76"/>
      <c r="AJ92" s="76"/>
      <c r="AK92" s="80"/>
      <c r="AL92" s="86"/>
      <c r="AM92" s="76"/>
      <c r="AN92" s="76"/>
      <c r="AO92" s="80"/>
      <c r="AP92" s="86"/>
      <c r="AQ92" s="76"/>
      <c r="AR92" s="76"/>
      <c r="AS92" s="80"/>
      <c r="AT92" s="86"/>
      <c r="AU92" s="76"/>
      <c r="AV92" s="76"/>
      <c r="AW92" s="80"/>
      <c r="AX92" s="86"/>
      <c r="AY92" s="76"/>
      <c r="AZ92" s="76"/>
      <c r="BA92" s="80"/>
      <c r="BB92" s="86"/>
      <c r="BC92" s="76"/>
      <c r="BD92" s="76"/>
      <c r="BE92" s="80"/>
      <c r="BF92" s="86"/>
      <c r="BG92" s="76"/>
      <c r="BH92" s="76"/>
      <c r="BI92" s="80"/>
      <c r="BJ92" s="86"/>
      <c r="BK92" s="76"/>
      <c r="BL92" s="76"/>
      <c r="BM92" s="80"/>
      <c r="BN92" s="86"/>
      <c r="BO92" s="76"/>
      <c r="BP92" s="76"/>
      <c r="BQ92" s="80"/>
      <c r="BR92" s="86"/>
      <c r="BS92" s="76"/>
      <c r="BT92" s="76"/>
      <c r="BU92" s="80"/>
      <c r="BV92" s="86"/>
      <c r="BW92" s="76"/>
      <c r="BX92" s="76"/>
      <c r="BY92" s="80"/>
      <c r="BZ92" s="86"/>
      <c r="CA92" s="76"/>
      <c r="CB92" s="76"/>
      <c r="CC92" s="80"/>
      <c r="CD92" s="86"/>
      <c r="CE92" s="76"/>
      <c r="CF92" s="76"/>
      <c r="CG92" s="80"/>
      <c r="CH92" s="86"/>
      <c r="CI92" s="76"/>
      <c r="CJ92" s="76"/>
      <c r="CK92" s="80"/>
      <c r="CL92" s="86"/>
      <c r="CM92" s="76"/>
      <c r="CN92" s="76"/>
      <c r="CO92" s="80"/>
      <c r="CP92" s="86"/>
      <c r="CQ92" s="76"/>
      <c r="CR92" s="76"/>
      <c r="CS92" s="80"/>
      <c r="CT92" s="86"/>
      <c r="CU92" s="76"/>
      <c r="CV92" s="76"/>
      <c r="CW92" s="80"/>
      <c r="CX92" s="86"/>
      <c r="CY92" s="76"/>
      <c r="CZ92" s="76"/>
      <c r="DA92" s="80"/>
      <c r="DB92" s="86"/>
      <c r="DC92" s="76"/>
      <c r="DD92" s="76"/>
      <c r="DE92" s="80"/>
      <c r="DF92" s="86"/>
      <c r="DG92" s="76"/>
      <c r="DH92" s="76"/>
      <c r="DI92" s="80"/>
      <c r="DJ92" s="86"/>
      <c r="DK92" s="76"/>
      <c r="DL92" s="76"/>
      <c r="DM92" s="80"/>
      <c r="DN92" s="86"/>
      <c r="DO92" s="76"/>
      <c r="DP92" s="76"/>
      <c r="DQ92" s="80"/>
      <c r="DR92" s="86"/>
      <c r="DS92" s="76"/>
      <c r="DT92" s="76"/>
      <c r="DU92" s="80"/>
      <c r="DV92" s="86"/>
      <c r="DW92" s="76"/>
      <c r="DX92" s="76"/>
      <c r="DY92" s="80"/>
      <c r="DZ92" s="86"/>
      <c r="EA92" s="76"/>
      <c r="EB92" s="76"/>
      <c r="EC92" s="80"/>
      <c r="ED92" s="86"/>
      <c r="EE92" s="76"/>
      <c r="EF92" s="76"/>
      <c r="EG92" s="80"/>
      <c r="EH92" s="86"/>
      <c r="EI92" s="76"/>
      <c r="EJ92" s="76"/>
      <c r="EK92" s="80"/>
      <c r="EL92" s="86"/>
      <c r="EM92" s="76"/>
      <c r="EN92" s="76"/>
      <c r="EO92" s="80"/>
      <c r="EP92" s="86"/>
      <c r="EQ92" s="76"/>
      <c r="ER92" s="76"/>
      <c r="ES92" s="80"/>
      <c r="ET92" s="86"/>
      <c r="EU92" s="76"/>
      <c r="EV92" s="76"/>
      <c r="EW92" s="80"/>
      <c r="EX92" s="86"/>
      <c r="EY92" s="76"/>
      <c r="EZ92" s="76"/>
      <c r="FA92" s="80"/>
      <c r="FB92" s="86"/>
      <c r="FC92" s="76"/>
      <c r="FD92" s="76"/>
      <c r="FE92" s="80"/>
      <c r="FF92" s="86"/>
      <c r="FG92" s="76"/>
      <c r="FH92" s="76"/>
      <c r="FI92" s="80"/>
      <c r="FJ92" s="86"/>
      <c r="FK92" s="76"/>
      <c r="FL92" s="76"/>
      <c r="FM92" s="80"/>
      <c r="FN92" s="86"/>
      <c r="FO92" s="76"/>
      <c r="FP92" s="76"/>
      <c r="FQ92" s="80"/>
      <c r="FR92" s="86"/>
      <c r="FS92" s="76"/>
      <c r="FT92" s="76"/>
      <c r="FU92" s="80"/>
      <c r="FV92" s="86"/>
      <c r="FW92" s="76"/>
      <c r="FX92" s="76"/>
      <c r="FY92" s="80"/>
      <c r="FZ92" s="86"/>
      <c r="GA92" s="76"/>
      <c r="GB92" s="76"/>
      <c r="GC92" s="80"/>
      <c r="GD92" s="86"/>
      <c r="GE92" s="76"/>
      <c r="GF92" s="76"/>
      <c r="GG92" s="80"/>
      <c r="GH92" s="86"/>
      <c r="GI92" s="76"/>
      <c r="GJ92" s="76"/>
      <c r="GK92" s="80"/>
      <c r="GL92" s="86"/>
      <c r="GM92" s="76"/>
      <c r="GN92" s="76"/>
      <c r="GO92" s="80"/>
      <c r="GP92" s="86"/>
      <c r="GQ92" s="76"/>
      <c r="GR92" s="76"/>
      <c r="GS92" s="80"/>
      <c r="GT92" s="86"/>
      <c r="GU92" s="76"/>
      <c r="GV92" s="76"/>
      <c r="GW92" s="80"/>
      <c r="GX92" s="86"/>
      <c r="GY92" s="76"/>
      <c r="GZ92" s="76"/>
      <c r="HA92" s="80"/>
      <c r="HB92" s="86"/>
      <c r="HC92" s="76"/>
      <c r="HD92" s="76"/>
      <c r="HE92" s="80"/>
      <c r="HF92" s="86"/>
      <c r="HG92" s="76"/>
      <c r="HH92" s="76"/>
      <c r="HI92" s="80"/>
      <c r="HJ92" s="86"/>
      <c r="HK92" s="76"/>
      <c r="HL92" s="76"/>
      <c r="HM92" s="80"/>
      <c r="HN92" s="86"/>
      <c r="HO92" s="76"/>
      <c r="HP92" s="76"/>
      <c r="HQ92" s="80"/>
      <c r="HR92" s="86"/>
      <c r="HS92" s="76"/>
      <c r="HT92" s="76"/>
      <c r="HU92" s="80"/>
      <c r="HV92" s="86"/>
      <c r="HW92" s="76"/>
      <c r="HX92" s="76"/>
      <c r="HY92" s="80"/>
      <c r="HZ92" s="86"/>
      <c r="IA92" s="76"/>
      <c r="IB92" s="76"/>
      <c r="IC92" s="80"/>
      <c r="ID92" s="86"/>
      <c r="IE92" s="76"/>
      <c r="IF92" s="76"/>
      <c r="IG92" s="80"/>
      <c r="IH92" s="86"/>
      <c r="II92" s="76"/>
      <c r="IJ92" s="76"/>
      <c r="IK92" s="80"/>
      <c r="IL92" s="86"/>
      <c r="IM92" s="76"/>
      <c r="IN92" s="76"/>
      <c r="IO92" s="80"/>
      <c r="IP92" s="86"/>
      <c r="IQ92" s="76"/>
      <c r="IR92" s="76"/>
      <c r="IS92" s="80"/>
      <c r="IT92" s="86"/>
      <c r="IU92" s="76"/>
      <c r="IV92" s="76"/>
    </row>
    <row r="93" spans="1:256" s="77" customFormat="1">
      <c r="A93" s="80"/>
      <c r="B93" s="58" t="s">
        <v>126</v>
      </c>
      <c r="C93" s="61">
        <f>ROUND(C92*(C88+C89),-1)</f>
        <v>3630</v>
      </c>
      <c r="D93" s="60" t="s">
        <v>127</v>
      </c>
      <c r="E93" s="60" t="s">
        <v>77</v>
      </c>
      <c r="F93" s="82"/>
      <c r="G93" s="76"/>
      <c r="H93" s="76"/>
      <c r="I93" s="80"/>
      <c r="J93" s="82"/>
      <c r="K93" s="76"/>
      <c r="L93" s="76"/>
      <c r="M93" s="80"/>
      <c r="N93" s="82"/>
      <c r="O93" s="76"/>
      <c r="P93" s="76"/>
      <c r="Q93" s="80"/>
      <c r="R93" s="82"/>
      <c r="S93" s="76"/>
      <c r="T93" s="76"/>
      <c r="U93" s="80"/>
      <c r="V93" s="82"/>
      <c r="W93" s="76"/>
      <c r="X93" s="76"/>
      <c r="Y93" s="80"/>
      <c r="Z93" s="82"/>
      <c r="AA93" s="76"/>
      <c r="AB93" s="76"/>
      <c r="AC93" s="80"/>
      <c r="AD93" s="82"/>
      <c r="AE93" s="76"/>
      <c r="AF93" s="76"/>
      <c r="AG93" s="80"/>
      <c r="AH93" s="82"/>
      <c r="AI93" s="76"/>
      <c r="AJ93" s="76"/>
      <c r="AK93" s="80"/>
      <c r="AL93" s="82"/>
      <c r="AM93" s="76"/>
      <c r="AN93" s="76"/>
      <c r="AO93" s="80"/>
      <c r="AP93" s="82"/>
      <c r="AQ93" s="76"/>
      <c r="AR93" s="76"/>
      <c r="AS93" s="80"/>
      <c r="AT93" s="82"/>
      <c r="AU93" s="76"/>
      <c r="AV93" s="76"/>
      <c r="AW93" s="80"/>
      <c r="AX93" s="82"/>
      <c r="AY93" s="76"/>
      <c r="AZ93" s="76"/>
      <c r="BA93" s="80"/>
      <c r="BB93" s="82"/>
      <c r="BC93" s="76"/>
      <c r="BD93" s="76"/>
      <c r="BE93" s="80"/>
      <c r="BF93" s="82"/>
      <c r="BG93" s="76"/>
      <c r="BH93" s="76"/>
      <c r="BI93" s="80"/>
      <c r="BJ93" s="82"/>
      <c r="BK93" s="76"/>
      <c r="BL93" s="76"/>
      <c r="BM93" s="80"/>
      <c r="BN93" s="82"/>
      <c r="BO93" s="76"/>
      <c r="BP93" s="76"/>
      <c r="BQ93" s="80"/>
      <c r="BR93" s="82"/>
      <c r="BS93" s="76"/>
      <c r="BT93" s="76"/>
      <c r="BU93" s="80"/>
      <c r="BV93" s="82"/>
      <c r="BW93" s="76"/>
      <c r="BX93" s="76"/>
      <c r="BY93" s="80"/>
      <c r="BZ93" s="82"/>
      <c r="CA93" s="76"/>
      <c r="CB93" s="76"/>
      <c r="CC93" s="80"/>
      <c r="CD93" s="82"/>
      <c r="CE93" s="76"/>
      <c r="CF93" s="76"/>
      <c r="CG93" s="80"/>
      <c r="CH93" s="82"/>
      <c r="CI93" s="76"/>
      <c r="CJ93" s="76"/>
      <c r="CK93" s="80"/>
      <c r="CL93" s="82"/>
      <c r="CM93" s="76"/>
      <c r="CN93" s="76"/>
      <c r="CO93" s="80"/>
      <c r="CP93" s="82"/>
      <c r="CQ93" s="76"/>
      <c r="CR93" s="76"/>
      <c r="CS93" s="80"/>
      <c r="CT93" s="82"/>
      <c r="CU93" s="76"/>
      <c r="CV93" s="76"/>
      <c r="CW93" s="80"/>
      <c r="CX93" s="82"/>
      <c r="CY93" s="76"/>
      <c r="CZ93" s="76"/>
      <c r="DA93" s="80"/>
      <c r="DB93" s="82"/>
      <c r="DC93" s="76"/>
      <c r="DD93" s="76"/>
      <c r="DE93" s="80"/>
      <c r="DF93" s="82"/>
      <c r="DG93" s="76"/>
      <c r="DH93" s="76"/>
      <c r="DI93" s="80"/>
      <c r="DJ93" s="82"/>
      <c r="DK93" s="76"/>
      <c r="DL93" s="76"/>
      <c r="DM93" s="80"/>
      <c r="DN93" s="82"/>
      <c r="DO93" s="76"/>
      <c r="DP93" s="76"/>
      <c r="DQ93" s="80"/>
      <c r="DR93" s="82"/>
      <c r="DS93" s="76"/>
      <c r="DT93" s="76"/>
      <c r="DU93" s="80"/>
      <c r="DV93" s="82"/>
      <c r="DW93" s="76"/>
      <c r="DX93" s="76"/>
      <c r="DY93" s="80"/>
      <c r="DZ93" s="82"/>
      <c r="EA93" s="76"/>
      <c r="EB93" s="76"/>
      <c r="EC93" s="80"/>
      <c r="ED93" s="82"/>
      <c r="EE93" s="76"/>
      <c r="EF93" s="76"/>
      <c r="EG93" s="80"/>
      <c r="EH93" s="82"/>
      <c r="EI93" s="76"/>
      <c r="EJ93" s="76"/>
      <c r="EK93" s="80"/>
      <c r="EL93" s="82"/>
      <c r="EM93" s="76"/>
      <c r="EN93" s="76"/>
      <c r="EO93" s="80"/>
      <c r="EP93" s="82"/>
      <c r="EQ93" s="76"/>
      <c r="ER93" s="76"/>
      <c r="ES93" s="80"/>
      <c r="ET93" s="82"/>
      <c r="EU93" s="76"/>
      <c r="EV93" s="76"/>
      <c r="EW93" s="80"/>
      <c r="EX93" s="82"/>
      <c r="EY93" s="76"/>
      <c r="EZ93" s="76"/>
      <c r="FA93" s="80"/>
      <c r="FB93" s="82"/>
      <c r="FC93" s="76"/>
      <c r="FD93" s="76"/>
      <c r="FE93" s="80"/>
      <c r="FF93" s="82"/>
      <c r="FG93" s="76"/>
      <c r="FH93" s="76"/>
      <c r="FI93" s="80"/>
      <c r="FJ93" s="82"/>
      <c r="FK93" s="76"/>
      <c r="FL93" s="76"/>
      <c r="FM93" s="80"/>
      <c r="FN93" s="82"/>
      <c r="FO93" s="76"/>
      <c r="FP93" s="76"/>
      <c r="FQ93" s="80"/>
      <c r="FR93" s="82"/>
      <c r="FS93" s="76"/>
      <c r="FT93" s="76"/>
      <c r="FU93" s="80"/>
      <c r="FV93" s="82"/>
      <c r="FW93" s="76"/>
      <c r="FX93" s="76"/>
      <c r="FY93" s="80"/>
      <c r="FZ93" s="82"/>
      <c r="GA93" s="76"/>
      <c r="GB93" s="76"/>
      <c r="GC93" s="80"/>
      <c r="GD93" s="82"/>
      <c r="GE93" s="76"/>
      <c r="GF93" s="76"/>
      <c r="GG93" s="80"/>
      <c r="GH93" s="82"/>
      <c r="GI93" s="76"/>
      <c r="GJ93" s="76"/>
      <c r="GK93" s="80"/>
      <c r="GL93" s="82"/>
      <c r="GM93" s="76"/>
      <c r="GN93" s="76"/>
      <c r="GO93" s="80"/>
      <c r="GP93" s="82"/>
      <c r="GQ93" s="76"/>
      <c r="GR93" s="76"/>
      <c r="GS93" s="80"/>
      <c r="GT93" s="82"/>
      <c r="GU93" s="76"/>
      <c r="GV93" s="76"/>
      <c r="GW93" s="80"/>
      <c r="GX93" s="82"/>
      <c r="GY93" s="76"/>
      <c r="GZ93" s="76"/>
      <c r="HA93" s="80"/>
      <c r="HB93" s="82"/>
      <c r="HC93" s="76"/>
      <c r="HD93" s="76"/>
      <c r="HE93" s="80"/>
      <c r="HF93" s="82"/>
      <c r="HG93" s="76"/>
      <c r="HH93" s="76"/>
      <c r="HI93" s="80"/>
      <c r="HJ93" s="82"/>
      <c r="HK93" s="76"/>
      <c r="HL93" s="76"/>
      <c r="HM93" s="80"/>
      <c r="HN93" s="82"/>
      <c r="HO93" s="76"/>
      <c r="HP93" s="76"/>
      <c r="HQ93" s="80"/>
      <c r="HR93" s="82"/>
      <c r="HS93" s="76"/>
      <c r="HT93" s="76"/>
      <c r="HU93" s="80"/>
      <c r="HV93" s="82"/>
      <c r="HW93" s="76"/>
      <c r="HX93" s="76"/>
      <c r="HY93" s="80"/>
      <c r="HZ93" s="82"/>
      <c r="IA93" s="76"/>
      <c r="IB93" s="76"/>
      <c r="IC93" s="80"/>
      <c r="ID93" s="82"/>
      <c r="IE93" s="76"/>
      <c r="IF93" s="76"/>
      <c r="IG93" s="80"/>
      <c r="IH93" s="82"/>
      <c r="II93" s="76"/>
      <c r="IJ93" s="76"/>
      <c r="IK93" s="80"/>
      <c r="IL93" s="82"/>
      <c r="IM93" s="76"/>
      <c r="IN93" s="76"/>
      <c r="IO93" s="80"/>
      <c r="IP93" s="82"/>
      <c r="IQ93" s="76"/>
      <c r="IR93" s="76"/>
      <c r="IS93" s="80"/>
      <c r="IT93" s="82"/>
      <c r="IU93" s="76"/>
      <c r="IV93" s="76"/>
    </row>
    <row r="94" spans="1:256">
      <c r="B94" s="87"/>
      <c r="C94" s="88"/>
      <c r="D94" s="89"/>
      <c r="E94" s="89"/>
      <c r="G94" s="64"/>
    </row>
    <row r="95" spans="1:256">
      <c r="B95" s="90" t="s">
        <v>128</v>
      </c>
      <c r="C95" s="91">
        <f>ROUND(+C77+C70+C64+C62+C85+C93,-2)</f>
        <v>1747300</v>
      </c>
      <c r="D95" s="89"/>
      <c r="E95" s="89"/>
    </row>
    <row r="96" spans="1:256">
      <c r="B96" s="90" t="s">
        <v>129</v>
      </c>
      <c r="C96" s="92">
        <f>C5/100*C17</f>
        <v>4.5552000000000001</v>
      </c>
      <c r="D96" s="89"/>
      <c r="E96" s="89"/>
    </row>
    <row r="97" spans="2:5">
      <c r="B97" s="90" t="s">
        <v>130</v>
      </c>
      <c r="C97" s="92">
        <f>+C6/100*C19</f>
        <v>38.982438000000002</v>
      </c>
      <c r="D97" s="89"/>
      <c r="E97" s="89"/>
    </row>
    <row r="98" spans="2:5">
      <c r="B98" s="90" t="s">
        <v>131</v>
      </c>
      <c r="C98" s="93">
        <f>C95/C96</f>
        <v>383583.59676852828</v>
      </c>
      <c r="D98" s="89"/>
      <c r="E98" s="89"/>
    </row>
    <row r="99" spans="2:5">
      <c r="B99" s="94" t="s">
        <v>132</v>
      </c>
      <c r="C99" s="95">
        <f>ROUND((C95/C97), -2)</f>
        <v>44800</v>
      </c>
      <c r="D99" s="89"/>
      <c r="E99" s="89"/>
    </row>
    <row r="100" spans="2:5">
      <c r="D100" s="7"/>
      <c r="E100" s="7"/>
    </row>
    <row r="101" spans="2:5">
      <c r="D101" s="7"/>
      <c r="E101" s="7"/>
    </row>
  </sheetData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topLeftCell="A82" workbookViewId="0">
      <selection activeCell="C97" sqref="C97:C98"/>
    </sheetView>
  </sheetViews>
  <sheetFormatPr defaultColWidth="9.140625" defaultRowHeight="12.75"/>
  <cols>
    <col min="1" max="1" width="3.5703125" style="1" customWidth="1"/>
    <col min="2" max="2" width="40.7109375" style="1" customWidth="1"/>
    <col min="3" max="3" width="31.5703125" style="1" customWidth="1"/>
    <col min="4" max="4" width="28.85546875" style="1" customWidth="1"/>
    <col min="5" max="5" width="11.5703125" style="1" bestFit="1" customWidth="1"/>
    <col min="6" max="16384" width="9.140625" style="1"/>
  </cols>
  <sheetData>
    <row r="1" spans="2:10" ht="18">
      <c r="B1" s="108"/>
      <c r="C1" s="109" t="s">
        <v>0</v>
      </c>
      <c r="D1" s="108"/>
      <c r="E1" s="108"/>
    </row>
    <row r="2" spans="2:10" ht="18">
      <c r="C2" s="4" t="s">
        <v>1</v>
      </c>
      <c r="D2" s="107"/>
      <c r="E2" s="107"/>
    </row>
    <row r="3" spans="2:10" ht="18">
      <c r="C3" s="4" t="s">
        <v>133</v>
      </c>
      <c r="D3" s="2"/>
      <c r="E3" s="2"/>
      <c r="F3" s="3"/>
      <c r="G3" s="3"/>
      <c r="H3" s="3"/>
    </row>
    <row r="4" spans="2:10" ht="18">
      <c r="C4" s="2"/>
      <c r="D4" s="2"/>
      <c r="E4" s="2"/>
      <c r="F4" s="3"/>
      <c r="G4" s="3"/>
      <c r="H4" s="3"/>
    </row>
    <row r="5" spans="2:10" ht="18">
      <c r="B5" s="4"/>
      <c r="C5" s="4"/>
      <c r="D5" s="4"/>
      <c r="E5" s="2"/>
      <c r="F5" s="3"/>
      <c r="G5" s="3"/>
      <c r="H5" s="3"/>
    </row>
    <row r="6" spans="2:10">
      <c r="B6" s="96" t="s">
        <v>3</v>
      </c>
      <c r="C6" s="97">
        <v>80</v>
      </c>
      <c r="D6" s="7"/>
      <c r="E6" s="7"/>
    </row>
    <row r="7" spans="2:10">
      <c r="B7" s="8" t="s">
        <v>4</v>
      </c>
      <c r="C7" s="9">
        <v>99</v>
      </c>
      <c r="D7" s="7"/>
      <c r="E7" s="7"/>
    </row>
    <row r="8" spans="2:10">
      <c r="D8" s="7"/>
      <c r="E8" s="7"/>
    </row>
    <row r="9" spans="2:10" ht="15.75">
      <c r="B9" s="10" t="s">
        <v>5</v>
      </c>
      <c r="D9" s="7"/>
      <c r="E9" s="7"/>
    </row>
    <row r="10" spans="2:10">
      <c r="D10" s="7"/>
      <c r="E10" s="7"/>
    </row>
    <row r="11" spans="2:10" ht="13.5" thickBot="1">
      <c r="B11" s="11" t="s">
        <v>6</v>
      </c>
      <c r="C11" s="12" t="s">
        <v>7</v>
      </c>
      <c r="D11" s="7"/>
      <c r="E11" s="7"/>
    </row>
    <row r="12" spans="2:10" ht="13.5" thickTop="1">
      <c r="B12" s="13" t="s">
        <v>8</v>
      </c>
      <c r="C12" s="14">
        <v>8760</v>
      </c>
      <c r="D12" s="7"/>
      <c r="E12" s="7"/>
    </row>
    <row r="13" spans="2:10">
      <c r="B13" s="15" t="s">
        <v>9</v>
      </c>
      <c r="C13" s="14">
        <v>10</v>
      </c>
      <c r="D13" s="7"/>
      <c r="E13" s="7"/>
    </row>
    <row r="14" spans="2:10">
      <c r="B14" s="15" t="s">
        <v>10</v>
      </c>
      <c r="C14" s="16">
        <v>7</v>
      </c>
      <c r="D14" s="7"/>
      <c r="E14" s="7"/>
    </row>
    <row r="15" spans="2:10">
      <c r="B15" s="17" t="s">
        <v>11</v>
      </c>
      <c r="C15" s="18" t="str">
        <f>C3</f>
        <v>Waste Heat Boilers/Solar Turbines</v>
      </c>
      <c r="D15" s="7"/>
      <c r="E15" s="7"/>
      <c r="J15" s="106"/>
    </row>
    <row r="16" spans="2:10">
      <c r="B16" s="17" t="s">
        <v>12</v>
      </c>
      <c r="C16" s="100">
        <f>23.38/(0.3048^3)*60</f>
        <v>49539.414476904181</v>
      </c>
      <c r="D16" s="7"/>
      <c r="E16" s="7"/>
    </row>
    <row r="17" spans="2:7">
      <c r="B17" s="98" t="s">
        <v>13</v>
      </c>
      <c r="C17" s="99">
        <v>0.37</v>
      </c>
      <c r="D17" s="7"/>
      <c r="E17" s="7"/>
      <c r="G17" s="106"/>
    </row>
    <row r="18" spans="2:7">
      <c r="B18" s="98" t="s">
        <v>14</v>
      </c>
      <c r="C18" s="99">
        <v>1.61</v>
      </c>
      <c r="D18" s="7"/>
      <c r="E18" s="7"/>
    </row>
    <row r="19" spans="2:7">
      <c r="B19" s="17" t="s">
        <v>15</v>
      </c>
      <c r="C19" s="99">
        <v>11.14</v>
      </c>
      <c r="D19" s="7"/>
      <c r="E19" s="7"/>
    </row>
    <row r="20" spans="2:7">
      <c r="B20" s="17" t="s">
        <v>16</v>
      </c>
      <c r="C20" s="99">
        <v>48.78</v>
      </c>
      <c r="D20" s="7"/>
      <c r="E20" s="7"/>
    </row>
    <row r="21" spans="2:7">
      <c r="B21" s="17" t="s">
        <v>17</v>
      </c>
      <c r="C21" s="22">
        <f>0.093*1.0851</f>
        <v>0.1009143</v>
      </c>
      <c r="D21" s="23" t="s">
        <v>18</v>
      </c>
      <c r="E21" s="7"/>
    </row>
    <row r="22" spans="2:7">
      <c r="B22" s="17" t="s">
        <v>19</v>
      </c>
      <c r="C22" s="24">
        <f>45*1.0851</f>
        <v>48.829499999999996</v>
      </c>
      <c r="D22" s="23" t="s">
        <v>18</v>
      </c>
      <c r="E22" s="7"/>
    </row>
    <row r="23" spans="2:7">
      <c r="B23" s="25" t="s">
        <v>20</v>
      </c>
      <c r="C23" s="26">
        <f>45*1.0851</f>
        <v>48.829499999999996</v>
      </c>
      <c r="D23" s="23" t="s">
        <v>18</v>
      </c>
      <c r="E23" s="7"/>
    </row>
    <row r="24" spans="2:7">
      <c r="D24" s="7"/>
      <c r="E24" s="7"/>
    </row>
    <row r="25" spans="2:7" ht="15.75">
      <c r="B25" s="10" t="s">
        <v>21</v>
      </c>
      <c r="D25" s="7"/>
      <c r="E25" s="7"/>
    </row>
    <row r="26" spans="2:7">
      <c r="D26" s="7"/>
      <c r="E26" s="7"/>
    </row>
    <row r="27" spans="2:7" ht="13.5" thickBot="1">
      <c r="B27" s="11"/>
      <c r="C27" s="27" t="s">
        <v>7</v>
      </c>
      <c r="D27" s="28" t="s">
        <v>22</v>
      </c>
      <c r="E27" s="7"/>
    </row>
    <row r="28" spans="2:7" ht="13.5" thickTop="1">
      <c r="B28" s="29" t="s">
        <v>23</v>
      </c>
      <c r="C28" s="30"/>
      <c r="D28" s="31"/>
      <c r="E28" s="7"/>
    </row>
    <row r="29" spans="2:7">
      <c r="B29" s="17" t="s">
        <v>24</v>
      </c>
      <c r="C29" s="30"/>
      <c r="D29" s="31"/>
      <c r="E29" s="7"/>
    </row>
    <row r="30" spans="2:7">
      <c r="B30" s="17" t="s">
        <v>25</v>
      </c>
      <c r="C30" s="32">
        <f>(1443*(C16^0.5527))*(9437/6059)*1.0851</f>
        <v>959551.83994874044</v>
      </c>
      <c r="D30" s="31" t="s">
        <v>26</v>
      </c>
      <c r="E30" s="23" t="s">
        <v>27</v>
      </c>
      <c r="F30" s="33"/>
    </row>
    <row r="31" spans="2:7">
      <c r="B31" s="17" t="s">
        <v>28</v>
      </c>
      <c r="C31" s="34">
        <f>ROUND(0.1*$C$30,-2)</f>
        <v>96000</v>
      </c>
      <c r="D31" s="31" t="s">
        <v>29</v>
      </c>
      <c r="E31" s="7"/>
    </row>
    <row r="32" spans="2:7">
      <c r="B32" s="17" t="s">
        <v>30</v>
      </c>
      <c r="C32" s="34">
        <f>ROUND(0.07*$C$30,-2)</f>
        <v>67200</v>
      </c>
      <c r="D32" s="31" t="s">
        <v>31</v>
      </c>
      <c r="E32" s="7"/>
    </row>
    <row r="33" spans="2:7">
      <c r="B33" s="17" t="s">
        <v>32</v>
      </c>
      <c r="C33" s="35">
        <f>ROUND(0.05*$C$30,-2)</f>
        <v>48000</v>
      </c>
      <c r="D33" s="36" t="s">
        <v>33</v>
      </c>
      <c r="E33" s="7"/>
    </row>
    <row r="34" spans="2:7">
      <c r="B34" s="17" t="s">
        <v>34</v>
      </c>
      <c r="C34" s="34">
        <f>SUM(C30:C33)</f>
        <v>1170751.8399487403</v>
      </c>
      <c r="D34" s="31" t="s">
        <v>35</v>
      </c>
      <c r="E34" s="7"/>
    </row>
    <row r="35" spans="2:7">
      <c r="B35" s="17" t="s">
        <v>36</v>
      </c>
      <c r="C35" s="37"/>
      <c r="D35" s="31"/>
      <c r="E35" s="7"/>
    </row>
    <row r="36" spans="2:7">
      <c r="B36" s="17" t="s">
        <v>37</v>
      </c>
      <c r="C36" s="34">
        <f>ROUND(0.08*$C$34,-2)</f>
        <v>93700</v>
      </c>
      <c r="D36" s="31" t="s">
        <v>38</v>
      </c>
      <c r="E36" s="7"/>
    </row>
    <row r="37" spans="2:7">
      <c r="B37" s="17" t="s">
        <v>39</v>
      </c>
      <c r="C37" s="34">
        <f>ROUND(0.14*$C$34,-2)</f>
        <v>163900</v>
      </c>
      <c r="D37" s="31" t="s">
        <v>40</v>
      </c>
      <c r="E37" s="7"/>
    </row>
    <row r="38" spans="2:7">
      <c r="B38" s="17" t="s">
        <v>41</v>
      </c>
      <c r="C38" s="34">
        <f>ROUND(0.04*$C$34,-2)</f>
        <v>46800</v>
      </c>
      <c r="D38" s="31" t="s">
        <v>42</v>
      </c>
      <c r="E38" s="7"/>
    </row>
    <row r="39" spans="2:7">
      <c r="B39" s="17" t="s">
        <v>43</v>
      </c>
      <c r="C39" s="34">
        <f>ROUND(0.02*$C$34,-2)+40000</f>
        <v>63400</v>
      </c>
      <c r="D39" s="31" t="s">
        <v>44</v>
      </c>
      <c r="E39" s="7"/>
    </row>
    <row r="40" spans="2:7">
      <c r="B40" s="17" t="s">
        <v>45</v>
      </c>
      <c r="C40" s="34">
        <f>ROUND(0.01*$C$34,-2)</f>
        <v>11700</v>
      </c>
      <c r="D40" s="31" t="s">
        <v>46</v>
      </c>
      <c r="E40" s="7"/>
    </row>
    <row r="41" spans="2:7">
      <c r="B41" s="17" t="s">
        <v>47</v>
      </c>
      <c r="C41" s="35">
        <f>ROUND(0.01*$C$34,-2)</f>
        <v>11700</v>
      </c>
      <c r="D41" s="36" t="s">
        <v>46</v>
      </c>
      <c r="E41" s="7"/>
    </row>
    <row r="42" spans="2:7">
      <c r="B42" s="17" t="s">
        <v>48</v>
      </c>
      <c r="C42" s="34">
        <f>SUM(C36:C41)</f>
        <v>391200</v>
      </c>
      <c r="D42" s="31" t="s">
        <v>49</v>
      </c>
      <c r="E42" s="7"/>
    </row>
    <row r="43" spans="2:7">
      <c r="B43" s="17" t="s">
        <v>50</v>
      </c>
      <c r="C43" s="38" t="s">
        <v>51</v>
      </c>
      <c r="D43" s="31" t="s">
        <v>52</v>
      </c>
      <c r="E43" s="7"/>
      <c r="G43" s="39"/>
    </row>
    <row r="44" spans="2:7">
      <c r="B44" s="17" t="s">
        <v>53</v>
      </c>
      <c r="C44" s="40" t="s">
        <v>51</v>
      </c>
      <c r="D44" s="36" t="s">
        <v>54</v>
      </c>
      <c r="E44" s="7"/>
    </row>
    <row r="45" spans="2:7">
      <c r="B45" s="29" t="s">
        <v>55</v>
      </c>
      <c r="C45" s="34">
        <f>ROUND(C34+C42,-2)</f>
        <v>1562000</v>
      </c>
      <c r="D45" s="31" t="s">
        <v>56</v>
      </c>
      <c r="E45" s="7"/>
    </row>
    <row r="46" spans="2:7">
      <c r="B46" s="29" t="s">
        <v>57</v>
      </c>
      <c r="C46" s="34"/>
      <c r="D46" s="31"/>
      <c r="E46" s="7"/>
    </row>
    <row r="47" spans="2:7">
      <c r="B47" s="17" t="s">
        <v>58</v>
      </c>
      <c r="C47" s="34">
        <f>ROUND(0.1*$C$34,-2)</f>
        <v>117100</v>
      </c>
      <c r="D47" s="31" t="s">
        <v>59</v>
      </c>
      <c r="E47" s="7"/>
    </row>
    <row r="48" spans="2:7">
      <c r="B48" s="17" t="s">
        <v>60</v>
      </c>
      <c r="C48" s="34">
        <f>ROUND(0.05*$C$34,-2)</f>
        <v>58500</v>
      </c>
      <c r="D48" s="31" t="s">
        <v>61</v>
      </c>
      <c r="E48" s="7"/>
    </row>
    <row r="49" spans="2:5">
      <c r="B49" s="17" t="s">
        <v>62</v>
      </c>
      <c r="C49" s="34">
        <f>ROUND(0.1*$C$34,-2)</f>
        <v>117100</v>
      </c>
      <c r="D49" s="31" t="s">
        <v>59</v>
      </c>
      <c r="E49" s="7"/>
    </row>
    <row r="50" spans="2:5">
      <c r="B50" s="17" t="s">
        <v>63</v>
      </c>
      <c r="C50" s="34">
        <f>ROUND(0.02*$C$34,-2)</f>
        <v>23400</v>
      </c>
      <c r="D50" s="31" t="s">
        <v>64</v>
      </c>
      <c r="E50" s="7"/>
    </row>
    <row r="51" spans="2:5">
      <c r="B51" s="17" t="s">
        <v>65</v>
      </c>
      <c r="C51" s="34">
        <f>ROUND(0.01*$C$34,-2)</f>
        <v>11700</v>
      </c>
      <c r="D51" s="31" t="s">
        <v>46</v>
      </c>
      <c r="E51" s="7"/>
    </row>
    <row r="52" spans="2:5">
      <c r="B52" s="17" t="s">
        <v>66</v>
      </c>
      <c r="C52" s="41">
        <f>ROUND(0.03*$C$34,-2)</f>
        <v>35100</v>
      </c>
      <c r="D52" s="31" t="s">
        <v>67</v>
      </c>
      <c r="E52" s="7"/>
    </row>
    <row r="53" spans="2:5" ht="13.5" thickBot="1">
      <c r="B53" s="42" t="s">
        <v>68</v>
      </c>
      <c r="C53" s="43">
        <f>SUM(C47:C52)</f>
        <v>362900</v>
      </c>
      <c r="D53" s="44" t="s">
        <v>69</v>
      </c>
      <c r="E53" s="7"/>
    </row>
    <row r="54" spans="2:5" ht="13.5" thickTop="1">
      <c r="B54" s="45" t="s">
        <v>70</v>
      </c>
      <c r="C54" s="46">
        <f>ROUND(C45+C53,-2)</f>
        <v>1924900</v>
      </c>
      <c r="D54" s="47" t="s">
        <v>71</v>
      </c>
      <c r="E54" s="7"/>
    </row>
    <row r="55" spans="2:5">
      <c r="B55" s="48"/>
      <c r="D55" s="7"/>
      <c r="E55" s="7"/>
    </row>
    <row r="56" spans="2:5">
      <c r="B56" s="48"/>
      <c r="D56" s="7"/>
      <c r="E56" s="7"/>
    </row>
    <row r="57" spans="2:5" ht="15.75">
      <c r="B57" s="10" t="s">
        <v>72</v>
      </c>
      <c r="D57" s="7"/>
      <c r="E57" s="7"/>
    </row>
    <row r="58" spans="2:5">
      <c r="D58" s="7"/>
      <c r="E58" s="7"/>
    </row>
    <row r="59" spans="2:5">
      <c r="B59" s="49" t="s">
        <v>6</v>
      </c>
      <c r="C59" s="49" t="s">
        <v>7</v>
      </c>
      <c r="D59" s="49" t="s">
        <v>22</v>
      </c>
      <c r="E59" s="49" t="s">
        <v>73</v>
      </c>
    </row>
    <row r="60" spans="2:5">
      <c r="B60" s="50" t="s">
        <v>74</v>
      </c>
      <c r="C60" s="51"/>
      <c r="D60" s="52"/>
      <c r="E60" s="52"/>
    </row>
    <row r="61" spans="2:5">
      <c r="B61" s="53" t="s">
        <v>75</v>
      </c>
      <c r="C61" s="54">
        <v>0.5</v>
      </c>
      <c r="D61" s="55" t="s">
        <v>76</v>
      </c>
      <c r="E61" s="56" t="s">
        <v>77</v>
      </c>
    </row>
    <row r="62" spans="2:5">
      <c r="B62" s="53" t="s">
        <v>78</v>
      </c>
      <c r="C62" s="57">
        <f>C22</f>
        <v>48.829499999999996</v>
      </c>
      <c r="D62" s="56" t="s">
        <v>79</v>
      </c>
      <c r="E62" s="56" t="s">
        <v>77</v>
      </c>
    </row>
    <row r="63" spans="2:5">
      <c r="B63" s="58" t="s">
        <v>80</v>
      </c>
      <c r="C63" s="59">
        <f>ROUND(C61*(C12/8)*C62,-1)</f>
        <v>26730</v>
      </c>
      <c r="D63" s="60" t="s">
        <v>81</v>
      </c>
      <c r="E63" s="60" t="s">
        <v>77</v>
      </c>
    </row>
    <row r="64" spans="2:5">
      <c r="B64" s="50" t="s">
        <v>82</v>
      </c>
      <c r="C64" s="51"/>
      <c r="D64" s="52"/>
      <c r="E64" s="52"/>
    </row>
    <row r="65" spans="2:9">
      <c r="B65" s="58" t="s">
        <v>83</v>
      </c>
      <c r="C65" s="61">
        <f>ROUND(0.15*C63,-1)</f>
        <v>4010</v>
      </c>
      <c r="D65" s="60" t="s">
        <v>84</v>
      </c>
      <c r="E65" s="60" t="s">
        <v>85</v>
      </c>
    </row>
    <row r="66" spans="2:9">
      <c r="B66" s="50" t="s">
        <v>86</v>
      </c>
      <c r="C66" s="51"/>
      <c r="D66" s="52"/>
      <c r="E66" s="52"/>
    </row>
    <row r="67" spans="2:9">
      <c r="B67" s="53" t="s">
        <v>87</v>
      </c>
      <c r="C67" s="62">
        <f>0.5*$C$12/24</f>
        <v>182.5</v>
      </c>
      <c r="D67" s="55" t="s">
        <v>88</v>
      </c>
      <c r="E67" s="56" t="s">
        <v>79</v>
      </c>
    </row>
    <row r="68" spans="2:9">
      <c r="B68" s="53" t="s">
        <v>78</v>
      </c>
      <c r="C68" s="57">
        <f>C23</f>
        <v>48.829499999999996</v>
      </c>
      <c r="D68" s="56" t="s">
        <v>79</v>
      </c>
      <c r="E68" s="56" t="s">
        <v>77</v>
      </c>
    </row>
    <row r="69" spans="2:9">
      <c r="B69" s="53" t="s">
        <v>80</v>
      </c>
      <c r="C69" s="63">
        <f>ROUND((C67)*C68,-1)</f>
        <v>8910</v>
      </c>
      <c r="D69" s="56" t="s">
        <v>81</v>
      </c>
      <c r="E69" s="56" t="s">
        <v>77</v>
      </c>
    </row>
    <row r="70" spans="2:9">
      <c r="B70" s="53" t="s">
        <v>89</v>
      </c>
      <c r="C70" s="63">
        <f>ROUND(+C69,-1)</f>
        <v>8910</v>
      </c>
      <c r="D70" s="56" t="s">
        <v>90</v>
      </c>
      <c r="E70" s="56" t="s">
        <v>85</v>
      </c>
    </row>
    <row r="71" spans="2:9">
      <c r="B71" s="58" t="s">
        <v>91</v>
      </c>
      <c r="C71" s="61">
        <f>ROUND(+C70+C69,-1)</f>
        <v>17820</v>
      </c>
      <c r="D71" s="60" t="s">
        <v>81</v>
      </c>
      <c r="E71" s="60" t="s">
        <v>77</v>
      </c>
    </row>
    <row r="72" spans="2:9">
      <c r="B72" s="50" t="s">
        <v>92</v>
      </c>
      <c r="C72" s="51"/>
      <c r="D72" s="52"/>
      <c r="E72" s="52"/>
      <c r="G72" s="64"/>
      <c r="H72" s="65"/>
      <c r="I72" s="64"/>
    </row>
    <row r="73" spans="2:9">
      <c r="B73" s="53" t="s">
        <v>93</v>
      </c>
      <c r="C73" s="66">
        <f>ROUND(0.6*(C63+C65+C71),-1)</f>
        <v>29140</v>
      </c>
      <c r="D73" s="56" t="s">
        <v>94</v>
      </c>
      <c r="E73" s="56" t="s">
        <v>85</v>
      </c>
      <c r="G73" s="64"/>
      <c r="H73" s="65"/>
      <c r="I73" s="64"/>
    </row>
    <row r="74" spans="2:9">
      <c r="B74" s="53" t="s">
        <v>95</v>
      </c>
      <c r="C74" s="63">
        <f>ROUND(0.02*C54,-1)</f>
        <v>38500</v>
      </c>
      <c r="D74" s="56" t="s">
        <v>96</v>
      </c>
      <c r="E74" s="56" t="s">
        <v>85</v>
      </c>
      <c r="G74" s="64"/>
      <c r="H74" s="65"/>
      <c r="I74" s="64"/>
    </row>
    <row r="75" spans="2:9">
      <c r="B75" s="53" t="s">
        <v>97</v>
      </c>
      <c r="C75" s="63">
        <f>ROUND(0.01*C54,-1)</f>
        <v>19250</v>
      </c>
      <c r="D75" s="56" t="s">
        <v>98</v>
      </c>
      <c r="E75" s="56" t="s">
        <v>85</v>
      </c>
      <c r="G75" s="64"/>
      <c r="H75" s="65"/>
      <c r="I75" s="64"/>
    </row>
    <row r="76" spans="2:9">
      <c r="B76" s="53" t="s">
        <v>99</v>
      </c>
      <c r="C76" s="63">
        <f>ROUND(0.01*C54,-1)</f>
        <v>19250</v>
      </c>
      <c r="D76" s="56" t="s">
        <v>98</v>
      </c>
      <c r="E76" s="56" t="s">
        <v>85</v>
      </c>
      <c r="G76" s="64"/>
      <c r="H76" s="64"/>
      <c r="I76" s="64"/>
    </row>
    <row r="77" spans="2:9">
      <c r="B77" s="53" t="s">
        <v>100</v>
      </c>
      <c r="C77" s="66">
        <f>ROUND((C14/100*(1+C14/100)^C13)/((1+C14/100)^C13-1)*(C54),-1)</f>
        <v>274060</v>
      </c>
      <c r="D77" s="55" t="s">
        <v>101</v>
      </c>
      <c r="E77" s="56" t="s">
        <v>85</v>
      </c>
      <c r="G77" s="64"/>
      <c r="H77" s="64"/>
      <c r="I77" s="64"/>
    </row>
    <row r="78" spans="2:9" ht="13.5" thickBot="1">
      <c r="B78" s="67" t="s">
        <v>102</v>
      </c>
      <c r="C78" s="68">
        <f>SUM(C73:C77)</f>
        <v>380200</v>
      </c>
      <c r="D78" s="69" t="s">
        <v>81</v>
      </c>
      <c r="E78" s="69" t="s">
        <v>77</v>
      </c>
      <c r="G78" s="64"/>
    </row>
    <row r="79" spans="2:9" ht="13.5" thickTop="1">
      <c r="B79" s="50" t="s">
        <v>103</v>
      </c>
      <c r="C79" s="51"/>
      <c r="D79" s="52"/>
      <c r="E79" s="52"/>
    </row>
    <row r="80" spans="2:9">
      <c r="B80" s="53" t="s">
        <v>104</v>
      </c>
      <c r="C80" s="70">
        <f>7.682*C82/1000000</f>
        <v>7.8356399999999996E-3</v>
      </c>
      <c r="D80" s="71">
        <v>7.6820000000000004</v>
      </c>
      <c r="E80" s="72"/>
      <c r="F80" s="110" t="s">
        <v>105</v>
      </c>
    </row>
    <row r="81" spans="1:256">
      <c r="B81" s="53" t="s">
        <v>106</v>
      </c>
      <c r="C81" s="73">
        <f>'Fuel Usage'!F11</f>
        <v>11235539.203361867</v>
      </c>
      <c r="D81" s="55"/>
      <c r="E81" s="56"/>
      <c r="F81" s="110"/>
    </row>
    <row r="82" spans="1:256">
      <c r="B82" s="53" t="s">
        <v>107</v>
      </c>
      <c r="C82" s="73">
        <v>1020</v>
      </c>
      <c r="D82" s="55"/>
      <c r="E82" s="56"/>
    </row>
    <row r="83" spans="1:256">
      <c r="B83" s="53" t="s">
        <v>108</v>
      </c>
      <c r="C83" s="73">
        <f>C81/C82</f>
        <v>11015.234513099869</v>
      </c>
      <c r="D83" s="55"/>
      <c r="E83" s="56"/>
    </row>
    <row r="84" spans="1:256">
      <c r="B84" s="53" t="s">
        <v>109</v>
      </c>
      <c r="C84" s="112">
        <f>C80*C83*8760</f>
        <v>756087.97052357846</v>
      </c>
      <c r="D84" s="55"/>
      <c r="E84" s="56"/>
    </row>
    <row r="85" spans="1:256">
      <c r="B85" s="53" t="s">
        <v>110</v>
      </c>
      <c r="C85" s="57">
        <f>0.000117*C16*23/0.6*C12*C21</f>
        <v>196412.95735701185</v>
      </c>
      <c r="D85" s="56"/>
      <c r="E85" s="56" t="s">
        <v>85</v>
      </c>
    </row>
    <row r="86" spans="1:256">
      <c r="B86" s="58" t="s">
        <v>111</v>
      </c>
      <c r="C86" s="61">
        <f>ROUND(C84+C85,-1)</f>
        <v>952500</v>
      </c>
      <c r="D86" s="60"/>
      <c r="E86" s="60"/>
    </row>
    <row r="87" spans="1:256" s="77" customFormat="1">
      <c r="A87" s="74"/>
      <c r="B87" s="50" t="s">
        <v>112</v>
      </c>
      <c r="C87" s="51"/>
      <c r="D87" s="52"/>
      <c r="E87" s="52"/>
      <c r="F87" s="75"/>
      <c r="G87" s="76"/>
      <c r="H87" s="76"/>
      <c r="I87" s="74"/>
      <c r="J87" s="75"/>
      <c r="K87" s="76"/>
      <c r="L87" s="76"/>
      <c r="M87" s="74"/>
      <c r="N87" s="75"/>
      <c r="O87" s="76"/>
      <c r="P87" s="76"/>
      <c r="Q87" s="74"/>
      <c r="R87" s="75"/>
      <c r="S87" s="76"/>
      <c r="T87" s="76"/>
      <c r="U87" s="74"/>
      <c r="V87" s="75"/>
      <c r="W87" s="76"/>
      <c r="X87" s="76"/>
      <c r="Y87" s="74"/>
      <c r="Z87" s="75"/>
      <c r="AA87" s="76"/>
      <c r="AB87" s="76"/>
      <c r="AC87" s="74"/>
      <c r="AD87" s="75"/>
      <c r="AE87" s="76"/>
      <c r="AF87" s="76"/>
      <c r="AG87" s="74"/>
      <c r="AH87" s="75"/>
      <c r="AI87" s="76"/>
      <c r="AJ87" s="76"/>
      <c r="AK87" s="74"/>
      <c r="AL87" s="75"/>
      <c r="AM87" s="76"/>
      <c r="AN87" s="76"/>
      <c r="AO87" s="74"/>
      <c r="AP87" s="75"/>
      <c r="AQ87" s="76"/>
      <c r="AR87" s="76"/>
      <c r="AS87" s="74"/>
      <c r="AT87" s="75"/>
      <c r="AU87" s="76"/>
      <c r="AV87" s="76"/>
      <c r="AW87" s="74"/>
      <c r="AX87" s="75"/>
      <c r="AY87" s="76"/>
      <c r="AZ87" s="76"/>
      <c r="BA87" s="74"/>
      <c r="BB87" s="75"/>
      <c r="BC87" s="76"/>
      <c r="BD87" s="76"/>
      <c r="BE87" s="74"/>
      <c r="BF87" s="75"/>
      <c r="BG87" s="76"/>
      <c r="BH87" s="76"/>
      <c r="BI87" s="74"/>
      <c r="BJ87" s="75"/>
      <c r="BK87" s="76"/>
      <c r="BL87" s="76"/>
      <c r="BM87" s="74"/>
      <c r="BN87" s="75"/>
      <c r="BO87" s="76"/>
      <c r="BP87" s="76"/>
      <c r="BQ87" s="74"/>
      <c r="BR87" s="75"/>
      <c r="BS87" s="76"/>
      <c r="BT87" s="76"/>
      <c r="BU87" s="74"/>
      <c r="BV87" s="75"/>
      <c r="BW87" s="76"/>
      <c r="BX87" s="76"/>
      <c r="BY87" s="74"/>
      <c r="BZ87" s="75"/>
      <c r="CA87" s="76"/>
      <c r="CB87" s="76"/>
      <c r="CC87" s="74"/>
      <c r="CD87" s="75"/>
      <c r="CE87" s="76"/>
      <c r="CF87" s="76"/>
      <c r="CG87" s="74"/>
      <c r="CH87" s="75"/>
      <c r="CI87" s="76"/>
      <c r="CJ87" s="76"/>
      <c r="CK87" s="74"/>
      <c r="CL87" s="75"/>
      <c r="CM87" s="76"/>
      <c r="CN87" s="76"/>
      <c r="CO87" s="74"/>
      <c r="CP87" s="75"/>
      <c r="CQ87" s="76"/>
      <c r="CR87" s="76"/>
      <c r="CS87" s="74"/>
      <c r="CT87" s="75"/>
      <c r="CU87" s="76"/>
      <c r="CV87" s="76"/>
      <c r="CW87" s="74"/>
      <c r="CX87" s="75"/>
      <c r="CY87" s="76"/>
      <c r="CZ87" s="76"/>
      <c r="DA87" s="74"/>
      <c r="DB87" s="75"/>
      <c r="DC87" s="76"/>
      <c r="DD87" s="76"/>
      <c r="DE87" s="74"/>
      <c r="DF87" s="75"/>
      <c r="DG87" s="76"/>
      <c r="DH87" s="76"/>
      <c r="DI87" s="74"/>
      <c r="DJ87" s="75"/>
      <c r="DK87" s="76"/>
      <c r="DL87" s="76"/>
      <c r="DM87" s="74"/>
      <c r="DN87" s="75"/>
      <c r="DO87" s="76"/>
      <c r="DP87" s="76"/>
      <c r="DQ87" s="74"/>
      <c r="DR87" s="75"/>
      <c r="DS87" s="76"/>
      <c r="DT87" s="76"/>
      <c r="DU87" s="74"/>
      <c r="DV87" s="75"/>
      <c r="DW87" s="76"/>
      <c r="DX87" s="76"/>
      <c r="DY87" s="74"/>
      <c r="DZ87" s="75"/>
      <c r="EA87" s="76"/>
      <c r="EB87" s="76"/>
      <c r="EC87" s="74"/>
      <c r="ED87" s="75"/>
      <c r="EE87" s="76"/>
      <c r="EF87" s="76"/>
      <c r="EG87" s="74"/>
      <c r="EH87" s="75"/>
      <c r="EI87" s="76"/>
      <c r="EJ87" s="76"/>
      <c r="EK87" s="74"/>
      <c r="EL87" s="75"/>
      <c r="EM87" s="76"/>
      <c r="EN87" s="76"/>
      <c r="EO87" s="74"/>
      <c r="EP87" s="75"/>
      <c r="EQ87" s="76"/>
      <c r="ER87" s="76"/>
      <c r="ES87" s="74"/>
      <c r="ET87" s="75"/>
      <c r="EU87" s="76"/>
      <c r="EV87" s="76"/>
      <c r="EW87" s="74"/>
      <c r="EX87" s="75"/>
      <c r="EY87" s="76"/>
      <c r="EZ87" s="76"/>
      <c r="FA87" s="74"/>
      <c r="FB87" s="75"/>
      <c r="FC87" s="76"/>
      <c r="FD87" s="76"/>
      <c r="FE87" s="74"/>
      <c r="FF87" s="75"/>
      <c r="FG87" s="76"/>
      <c r="FH87" s="76"/>
      <c r="FI87" s="74"/>
      <c r="FJ87" s="75"/>
      <c r="FK87" s="76"/>
      <c r="FL87" s="76"/>
      <c r="FM87" s="74"/>
      <c r="FN87" s="75"/>
      <c r="FO87" s="76"/>
      <c r="FP87" s="76"/>
      <c r="FQ87" s="74"/>
      <c r="FR87" s="75"/>
      <c r="FS87" s="76"/>
      <c r="FT87" s="76"/>
      <c r="FU87" s="74"/>
      <c r="FV87" s="75"/>
      <c r="FW87" s="76"/>
      <c r="FX87" s="76"/>
      <c r="FY87" s="74"/>
      <c r="FZ87" s="75"/>
      <c r="GA87" s="76"/>
      <c r="GB87" s="76"/>
      <c r="GC87" s="74"/>
      <c r="GD87" s="75"/>
      <c r="GE87" s="76"/>
      <c r="GF87" s="76"/>
      <c r="GG87" s="74"/>
      <c r="GH87" s="75"/>
      <c r="GI87" s="76"/>
      <c r="GJ87" s="76"/>
      <c r="GK87" s="74"/>
      <c r="GL87" s="75"/>
      <c r="GM87" s="76"/>
      <c r="GN87" s="76"/>
      <c r="GO87" s="74"/>
      <c r="GP87" s="75"/>
      <c r="GQ87" s="76"/>
      <c r="GR87" s="76"/>
      <c r="GS87" s="74"/>
      <c r="GT87" s="75"/>
      <c r="GU87" s="76"/>
      <c r="GV87" s="76"/>
      <c r="GW87" s="74"/>
      <c r="GX87" s="75"/>
      <c r="GY87" s="76"/>
      <c r="GZ87" s="76"/>
      <c r="HA87" s="74"/>
      <c r="HB87" s="75"/>
      <c r="HC87" s="76"/>
      <c r="HD87" s="76"/>
      <c r="HE87" s="74"/>
      <c r="HF87" s="75"/>
      <c r="HG87" s="76"/>
      <c r="HH87" s="76"/>
      <c r="HI87" s="74"/>
      <c r="HJ87" s="75"/>
      <c r="HK87" s="76"/>
      <c r="HL87" s="76"/>
      <c r="HM87" s="74"/>
      <c r="HN87" s="75"/>
      <c r="HO87" s="76"/>
      <c r="HP87" s="76"/>
      <c r="HQ87" s="74"/>
      <c r="HR87" s="75"/>
      <c r="HS87" s="76"/>
      <c r="HT87" s="76"/>
      <c r="HU87" s="74"/>
      <c r="HV87" s="75"/>
      <c r="HW87" s="76"/>
      <c r="HX87" s="76"/>
      <c r="HY87" s="74"/>
      <c r="HZ87" s="75"/>
      <c r="IA87" s="76"/>
      <c r="IB87" s="76"/>
      <c r="IC87" s="74"/>
      <c r="ID87" s="75"/>
      <c r="IE87" s="76"/>
      <c r="IF87" s="76"/>
      <c r="IG87" s="74"/>
      <c r="IH87" s="75"/>
      <c r="II87" s="76"/>
      <c r="IJ87" s="76"/>
      <c r="IK87" s="74"/>
      <c r="IL87" s="75"/>
      <c r="IM87" s="76"/>
      <c r="IN87" s="76"/>
      <c r="IO87" s="74"/>
      <c r="IP87" s="75"/>
      <c r="IQ87" s="76"/>
      <c r="IR87" s="76"/>
      <c r="IS87" s="74"/>
      <c r="IT87" s="75"/>
      <c r="IU87" s="76"/>
      <c r="IV87" s="76"/>
    </row>
    <row r="88" spans="1:256" s="77" customFormat="1">
      <c r="A88" s="74"/>
      <c r="B88" s="78" t="s">
        <v>113</v>
      </c>
      <c r="C88" s="79">
        <f>C16/5000</f>
        <v>9.9078828953808369</v>
      </c>
      <c r="D88" s="56"/>
      <c r="E88" s="56" t="s">
        <v>85</v>
      </c>
      <c r="F88" s="75"/>
      <c r="G88" s="76"/>
      <c r="H88" s="76"/>
      <c r="I88" s="74"/>
      <c r="J88" s="75"/>
      <c r="K88" s="76"/>
      <c r="L88" s="76"/>
      <c r="M88" s="74"/>
      <c r="N88" s="75"/>
      <c r="O88" s="76"/>
      <c r="P88" s="76"/>
      <c r="Q88" s="74"/>
      <c r="R88" s="75"/>
      <c r="S88" s="76"/>
      <c r="T88" s="76"/>
      <c r="U88" s="74"/>
      <c r="V88" s="75"/>
      <c r="W88" s="76"/>
      <c r="X88" s="76"/>
      <c r="Y88" s="74"/>
      <c r="Z88" s="75"/>
      <c r="AA88" s="76"/>
      <c r="AB88" s="76"/>
      <c r="AC88" s="74"/>
      <c r="AD88" s="75"/>
      <c r="AE88" s="76"/>
      <c r="AF88" s="76"/>
      <c r="AG88" s="74"/>
      <c r="AH88" s="75"/>
      <c r="AI88" s="76"/>
      <c r="AJ88" s="76"/>
      <c r="AK88" s="74"/>
      <c r="AL88" s="75"/>
      <c r="AM88" s="76"/>
      <c r="AN88" s="76"/>
      <c r="AO88" s="74"/>
      <c r="AP88" s="75"/>
      <c r="AQ88" s="76"/>
      <c r="AR88" s="76"/>
      <c r="AS88" s="74"/>
      <c r="AT88" s="75"/>
      <c r="AU88" s="76"/>
      <c r="AV88" s="76"/>
      <c r="AW88" s="74"/>
      <c r="AX88" s="75"/>
      <c r="AY88" s="76"/>
      <c r="AZ88" s="76"/>
      <c r="BA88" s="74"/>
      <c r="BB88" s="75"/>
      <c r="BC88" s="76"/>
      <c r="BD88" s="76"/>
      <c r="BE88" s="74"/>
      <c r="BF88" s="75"/>
      <c r="BG88" s="76"/>
      <c r="BH88" s="76"/>
      <c r="BI88" s="74"/>
      <c r="BJ88" s="75"/>
      <c r="BK88" s="76"/>
      <c r="BL88" s="76"/>
      <c r="BM88" s="74"/>
      <c r="BN88" s="75"/>
      <c r="BO88" s="76"/>
      <c r="BP88" s="76"/>
      <c r="BQ88" s="74"/>
      <c r="BR88" s="75"/>
      <c r="BS88" s="76"/>
      <c r="BT88" s="76"/>
      <c r="BU88" s="74"/>
      <c r="BV88" s="75"/>
      <c r="BW88" s="76"/>
      <c r="BX88" s="76"/>
      <c r="BY88" s="74"/>
      <c r="BZ88" s="75"/>
      <c r="CA88" s="76"/>
      <c r="CB88" s="76"/>
      <c r="CC88" s="74"/>
      <c r="CD88" s="75"/>
      <c r="CE88" s="76"/>
      <c r="CF88" s="76"/>
      <c r="CG88" s="74"/>
      <c r="CH88" s="75"/>
      <c r="CI88" s="76"/>
      <c r="CJ88" s="76"/>
      <c r="CK88" s="74"/>
      <c r="CL88" s="75"/>
      <c r="CM88" s="76"/>
      <c r="CN88" s="76"/>
      <c r="CO88" s="74"/>
      <c r="CP88" s="75"/>
      <c r="CQ88" s="76"/>
      <c r="CR88" s="76"/>
      <c r="CS88" s="74"/>
      <c r="CT88" s="75"/>
      <c r="CU88" s="76"/>
      <c r="CV88" s="76"/>
      <c r="CW88" s="74"/>
      <c r="CX88" s="75"/>
      <c r="CY88" s="76"/>
      <c r="CZ88" s="76"/>
      <c r="DA88" s="74"/>
      <c r="DB88" s="75"/>
      <c r="DC88" s="76"/>
      <c r="DD88" s="76"/>
      <c r="DE88" s="74"/>
      <c r="DF88" s="75"/>
      <c r="DG88" s="76"/>
      <c r="DH88" s="76"/>
      <c r="DI88" s="74"/>
      <c r="DJ88" s="75"/>
      <c r="DK88" s="76"/>
      <c r="DL88" s="76"/>
      <c r="DM88" s="74"/>
      <c r="DN88" s="75"/>
      <c r="DO88" s="76"/>
      <c r="DP88" s="76"/>
      <c r="DQ88" s="74"/>
      <c r="DR88" s="75"/>
      <c r="DS88" s="76"/>
      <c r="DT88" s="76"/>
      <c r="DU88" s="74"/>
      <c r="DV88" s="75"/>
      <c r="DW88" s="76"/>
      <c r="DX88" s="76"/>
      <c r="DY88" s="74"/>
      <c r="DZ88" s="75"/>
      <c r="EA88" s="76"/>
      <c r="EB88" s="76"/>
      <c r="EC88" s="74"/>
      <c r="ED88" s="75"/>
      <c r="EE88" s="76"/>
      <c r="EF88" s="76"/>
      <c r="EG88" s="74"/>
      <c r="EH88" s="75"/>
      <c r="EI88" s="76"/>
      <c r="EJ88" s="76"/>
      <c r="EK88" s="74"/>
      <c r="EL88" s="75"/>
      <c r="EM88" s="76"/>
      <c r="EN88" s="76"/>
      <c r="EO88" s="74"/>
      <c r="EP88" s="75"/>
      <c r="EQ88" s="76"/>
      <c r="ER88" s="76"/>
      <c r="ES88" s="74"/>
      <c r="ET88" s="75"/>
      <c r="EU88" s="76"/>
      <c r="EV88" s="76"/>
      <c r="EW88" s="74"/>
      <c r="EX88" s="75"/>
      <c r="EY88" s="76"/>
      <c r="EZ88" s="76"/>
      <c r="FA88" s="74"/>
      <c r="FB88" s="75"/>
      <c r="FC88" s="76"/>
      <c r="FD88" s="76"/>
      <c r="FE88" s="74"/>
      <c r="FF88" s="75"/>
      <c r="FG88" s="76"/>
      <c r="FH88" s="76"/>
      <c r="FI88" s="74"/>
      <c r="FJ88" s="75"/>
      <c r="FK88" s="76"/>
      <c r="FL88" s="76"/>
      <c r="FM88" s="74"/>
      <c r="FN88" s="75"/>
      <c r="FO88" s="76"/>
      <c r="FP88" s="76"/>
      <c r="FQ88" s="74"/>
      <c r="FR88" s="75"/>
      <c r="FS88" s="76"/>
      <c r="FT88" s="76"/>
      <c r="FU88" s="74"/>
      <c r="FV88" s="75"/>
      <c r="FW88" s="76"/>
      <c r="FX88" s="76"/>
      <c r="FY88" s="74"/>
      <c r="FZ88" s="75"/>
      <c r="GA88" s="76"/>
      <c r="GB88" s="76"/>
      <c r="GC88" s="74"/>
      <c r="GD88" s="75"/>
      <c r="GE88" s="76"/>
      <c r="GF88" s="76"/>
      <c r="GG88" s="74"/>
      <c r="GH88" s="75"/>
      <c r="GI88" s="76"/>
      <c r="GJ88" s="76"/>
      <c r="GK88" s="74"/>
      <c r="GL88" s="75"/>
      <c r="GM88" s="76"/>
      <c r="GN88" s="76"/>
      <c r="GO88" s="74"/>
      <c r="GP88" s="75"/>
      <c r="GQ88" s="76"/>
      <c r="GR88" s="76"/>
      <c r="GS88" s="74"/>
      <c r="GT88" s="75"/>
      <c r="GU88" s="76"/>
      <c r="GV88" s="76"/>
      <c r="GW88" s="74"/>
      <c r="GX88" s="75"/>
      <c r="GY88" s="76"/>
      <c r="GZ88" s="76"/>
      <c r="HA88" s="74"/>
      <c r="HB88" s="75"/>
      <c r="HC88" s="76"/>
      <c r="HD88" s="76"/>
      <c r="HE88" s="74"/>
      <c r="HF88" s="75"/>
      <c r="HG88" s="76"/>
      <c r="HH88" s="76"/>
      <c r="HI88" s="74"/>
      <c r="HJ88" s="75"/>
      <c r="HK88" s="76"/>
      <c r="HL88" s="76"/>
      <c r="HM88" s="74"/>
      <c r="HN88" s="75"/>
      <c r="HO88" s="76"/>
      <c r="HP88" s="76"/>
      <c r="HQ88" s="74"/>
      <c r="HR88" s="75"/>
      <c r="HS88" s="76"/>
      <c r="HT88" s="76"/>
      <c r="HU88" s="74"/>
      <c r="HV88" s="75"/>
      <c r="HW88" s="76"/>
      <c r="HX88" s="76"/>
      <c r="HY88" s="74"/>
      <c r="HZ88" s="75"/>
      <c r="IA88" s="76"/>
      <c r="IB88" s="76"/>
      <c r="IC88" s="74"/>
      <c r="ID88" s="75"/>
      <c r="IE88" s="76"/>
      <c r="IF88" s="76"/>
      <c r="IG88" s="74"/>
      <c r="IH88" s="75"/>
      <c r="II88" s="76"/>
      <c r="IJ88" s="76"/>
      <c r="IK88" s="74"/>
      <c r="IL88" s="75"/>
      <c r="IM88" s="76"/>
      <c r="IN88" s="76"/>
      <c r="IO88" s="74"/>
      <c r="IP88" s="75"/>
      <c r="IQ88" s="76"/>
      <c r="IR88" s="76"/>
      <c r="IS88" s="74"/>
      <c r="IT88" s="75"/>
      <c r="IU88" s="76"/>
      <c r="IV88" s="76"/>
    </row>
    <row r="89" spans="1:256" s="77" customFormat="1">
      <c r="A89" s="80"/>
      <c r="B89" s="81" t="s">
        <v>114</v>
      </c>
      <c r="C89" s="66">
        <f>C88*650*1.0851</f>
        <v>6988.1784243555348</v>
      </c>
      <c r="D89" s="55" t="s">
        <v>115</v>
      </c>
      <c r="E89" s="55" t="s">
        <v>116</v>
      </c>
      <c r="F89" s="23" t="s">
        <v>117</v>
      </c>
      <c r="G89" s="76"/>
      <c r="H89" s="76"/>
      <c r="I89" s="80"/>
      <c r="J89" s="82"/>
      <c r="K89" s="76"/>
      <c r="L89" s="76"/>
      <c r="M89" s="80"/>
      <c r="N89" s="82"/>
      <c r="O89" s="76"/>
      <c r="P89" s="76"/>
      <c r="Q89" s="80"/>
      <c r="R89" s="82"/>
      <c r="S89" s="76"/>
      <c r="T89" s="76"/>
      <c r="U89" s="80"/>
      <c r="V89" s="82"/>
      <c r="W89" s="76"/>
      <c r="X89" s="76"/>
      <c r="Y89" s="80"/>
      <c r="Z89" s="82"/>
      <c r="AA89" s="76"/>
      <c r="AB89" s="76"/>
      <c r="AC89" s="80"/>
      <c r="AD89" s="82"/>
      <c r="AE89" s="76"/>
      <c r="AF89" s="76"/>
      <c r="AG89" s="80"/>
      <c r="AH89" s="82"/>
      <c r="AI89" s="76"/>
      <c r="AJ89" s="76"/>
      <c r="AK89" s="80"/>
      <c r="AL89" s="82"/>
      <c r="AM89" s="76"/>
      <c r="AN89" s="76"/>
      <c r="AO89" s="80"/>
      <c r="AP89" s="82"/>
      <c r="AQ89" s="76"/>
      <c r="AR89" s="76"/>
      <c r="AS89" s="80"/>
      <c r="AT89" s="82"/>
      <c r="AU89" s="76"/>
      <c r="AV89" s="76"/>
      <c r="AW89" s="80"/>
      <c r="AX89" s="82"/>
      <c r="AY89" s="76"/>
      <c r="AZ89" s="76"/>
      <c r="BA89" s="80"/>
      <c r="BB89" s="82"/>
      <c r="BC89" s="76"/>
      <c r="BD89" s="76"/>
      <c r="BE89" s="80"/>
      <c r="BF89" s="82"/>
      <c r="BG89" s="76"/>
      <c r="BH89" s="76"/>
      <c r="BI89" s="80"/>
      <c r="BJ89" s="82"/>
      <c r="BK89" s="76"/>
      <c r="BL89" s="76"/>
      <c r="BM89" s="80"/>
      <c r="BN89" s="82"/>
      <c r="BO89" s="76"/>
      <c r="BP89" s="76"/>
      <c r="BQ89" s="80"/>
      <c r="BR89" s="82"/>
      <c r="BS89" s="76"/>
      <c r="BT89" s="76"/>
      <c r="BU89" s="80"/>
      <c r="BV89" s="82"/>
      <c r="BW89" s="76"/>
      <c r="BX89" s="76"/>
      <c r="BY89" s="80"/>
      <c r="BZ89" s="82"/>
      <c r="CA89" s="76"/>
      <c r="CB89" s="76"/>
      <c r="CC89" s="80"/>
      <c r="CD89" s="82"/>
      <c r="CE89" s="76"/>
      <c r="CF89" s="76"/>
      <c r="CG89" s="80"/>
      <c r="CH89" s="82"/>
      <c r="CI89" s="76"/>
      <c r="CJ89" s="76"/>
      <c r="CK89" s="80"/>
      <c r="CL89" s="82"/>
      <c r="CM89" s="76"/>
      <c r="CN89" s="76"/>
      <c r="CO89" s="80"/>
      <c r="CP89" s="82"/>
      <c r="CQ89" s="76"/>
      <c r="CR89" s="76"/>
      <c r="CS89" s="80"/>
      <c r="CT89" s="82"/>
      <c r="CU89" s="76"/>
      <c r="CV89" s="76"/>
      <c r="CW89" s="80"/>
      <c r="CX89" s="82"/>
      <c r="CY89" s="76"/>
      <c r="CZ89" s="76"/>
      <c r="DA89" s="80"/>
      <c r="DB89" s="82"/>
      <c r="DC89" s="76"/>
      <c r="DD89" s="76"/>
      <c r="DE89" s="80"/>
      <c r="DF89" s="82"/>
      <c r="DG89" s="76"/>
      <c r="DH89" s="76"/>
      <c r="DI89" s="80"/>
      <c r="DJ89" s="82"/>
      <c r="DK89" s="76"/>
      <c r="DL89" s="76"/>
      <c r="DM89" s="80"/>
      <c r="DN89" s="82"/>
      <c r="DO89" s="76"/>
      <c r="DP89" s="76"/>
      <c r="DQ89" s="80"/>
      <c r="DR89" s="82"/>
      <c r="DS89" s="76"/>
      <c r="DT89" s="76"/>
      <c r="DU89" s="80"/>
      <c r="DV89" s="82"/>
      <c r="DW89" s="76"/>
      <c r="DX89" s="76"/>
      <c r="DY89" s="80"/>
      <c r="DZ89" s="82"/>
      <c r="EA89" s="76"/>
      <c r="EB89" s="76"/>
      <c r="EC89" s="80"/>
      <c r="ED89" s="82"/>
      <c r="EE89" s="76"/>
      <c r="EF89" s="76"/>
      <c r="EG89" s="80"/>
      <c r="EH89" s="82"/>
      <c r="EI89" s="76"/>
      <c r="EJ89" s="76"/>
      <c r="EK89" s="80"/>
      <c r="EL89" s="82"/>
      <c r="EM89" s="76"/>
      <c r="EN89" s="76"/>
      <c r="EO89" s="80"/>
      <c r="EP89" s="82"/>
      <c r="EQ89" s="76"/>
      <c r="ER89" s="76"/>
      <c r="ES89" s="80"/>
      <c r="ET89" s="82"/>
      <c r="EU89" s="76"/>
      <c r="EV89" s="76"/>
      <c r="EW89" s="80"/>
      <c r="EX89" s="82"/>
      <c r="EY89" s="76"/>
      <c r="EZ89" s="76"/>
      <c r="FA89" s="80"/>
      <c r="FB89" s="82"/>
      <c r="FC89" s="76"/>
      <c r="FD89" s="76"/>
      <c r="FE89" s="80"/>
      <c r="FF89" s="82"/>
      <c r="FG89" s="76"/>
      <c r="FH89" s="76"/>
      <c r="FI89" s="80"/>
      <c r="FJ89" s="82"/>
      <c r="FK89" s="76"/>
      <c r="FL89" s="76"/>
      <c r="FM89" s="80"/>
      <c r="FN89" s="82"/>
      <c r="FO89" s="76"/>
      <c r="FP89" s="76"/>
      <c r="FQ89" s="80"/>
      <c r="FR89" s="82"/>
      <c r="FS89" s="76"/>
      <c r="FT89" s="76"/>
      <c r="FU89" s="80"/>
      <c r="FV89" s="82"/>
      <c r="FW89" s="76"/>
      <c r="FX89" s="76"/>
      <c r="FY89" s="80"/>
      <c r="FZ89" s="82"/>
      <c r="GA89" s="76"/>
      <c r="GB89" s="76"/>
      <c r="GC89" s="80"/>
      <c r="GD89" s="82"/>
      <c r="GE89" s="76"/>
      <c r="GF89" s="76"/>
      <c r="GG89" s="80"/>
      <c r="GH89" s="82"/>
      <c r="GI89" s="76"/>
      <c r="GJ89" s="76"/>
      <c r="GK89" s="80"/>
      <c r="GL89" s="82"/>
      <c r="GM89" s="76"/>
      <c r="GN89" s="76"/>
      <c r="GO89" s="80"/>
      <c r="GP89" s="82"/>
      <c r="GQ89" s="76"/>
      <c r="GR89" s="76"/>
      <c r="GS89" s="80"/>
      <c r="GT89" s="82"/>
      <c r="GU89" s="76"/>
      <c r="GV89" s="76"/>
      <c r="GW89" s="80"/>
      <c r="GX89" s="82"/>
      <c r="GY89" s="76"/>
      <c r="GZ89" s="76"/>
      <c r="HA89" s="80"/>
      <c r="HB89" s="82"/>
      <c r="HC89" s="76"/>
      <c r="HD89" s="76"/>
      <c r="HE89" s="80"/>
      <c r="HF89" s="82"/>
      <c r="HG89" s="76"/>
      <c r="HH89" s="76"/>
      <c r="HI89" s="80"/>
      <c r="HJ89" s="82"/>
      <c r="HK89" s="76"/>
      <c r="HL89" s="76"/>
      <c r="HM89" s="80"/>
      <c r="HN89" s="82"/>
      <c r="HO89" s="76"/>
      <c r="HP89" s="76"/>
      <c r="HQ89" s="80"/>
      <c r="HR89" s="82"/>
      <c r="HS89" s="76"/>
      <c r="HT89" s="76"/>
      <c r="HU89" s="80"/>
      <c r="HV89" s="82"/>
      <c r="HW89" s="76"/>
      <c r="HX89" s="76"/>
      <c r="HY89" s="80"/>
      <c r="HZ89" s="82"/>
      <c r="IA89" s="76"/>
      <c r="IB89" s="76"/>
      <c r="IC89" s="80"/>
      <c r="ID89" s="82"/>
      <c r="IE89" s="76"/>
      <c r="IF89" s="76"/>
      <c r="IG89" s="80"/>
      <c r="IH89" s="82"/>
      <c r="II89" s="76"/>
      <c r="IJ89" s="76"/>
      <c r="IK89" s="80"/>
      <c r="IL89" s="82"/>
      <c r="IM89" s="76"/>
      <c r="IN89" s="76"/>
      <c r="IO89" s="80"/>
      <c r="IP89" s="82"/>
      <c r="IQ89" s="76"/>
      <c r="IR89" s="76"/>
      <c r="IS89" s="80"/>
      <c r="IT89" s="82"/>
      <c r="IU89" s="76"/>
      <c r="IV89" s="76"/>
    </row>
    <row r="90" spans="1:256" s="77" customFormat="1">
      <c r="A90" s="80"/>
      <c r="B90" s="81" t="s">
        <v>118</v>
      </c>
      <c r="C90" s="66">
        <f>(0/100)*C89</f>
        <v>0</v>
      </c>
      <c r="D90" s="55" t="s">
        <v>119</v>
      </c>
      <c r="E90" s="55" t="s">
        <v>79</v>
      </c>
      <c r="F90" s="82"/>
      <c r="G90" s="76"/>
      <c r="H90" s="76"/>
      <c r="I90" s="80"/>
      <c r="J90" s="82"/>
      <c r="K90" s="76"/>
      <c r="L90" s="76"/>
      <c r="M90" s="80"/>
      <c r="N90" s="82"/>
      <c r="O90" s="76"/>
      <c r="P90" s="76"/>
      <c r="Q90" s="80"/>
      <c r="R90" s="82"/>
      <c r="S90" s="76"/>
      <c r="T90" s="76"/>
      <c r="U90" s="80"/>
      <c r="V90" s="82"/>
      <c r="W90" s="76"/>
      <c r="X90" s="76"/>
      <c r="Y90" s="80"/>
      <c r="Z90" s="82"/>
      <c r="AA90" s="76"/>
      <c r="AB90" s="76"/>
      <c r="AC90" s="80"/>
      <c r="AD90" s="82"/>
      <c r="AE90" s="76"/>
      <c r="AF90" s="76"/>
      <c r="AG90" s="80"/>
      <c r="AH90" s="82"/>
      <c r="AI90" s="76"/>
      <c r="AJ90" s="76"/>
      <c r="AK90" s="80"/>
      <c r="AL90" s="82"/>
      <c r="AM90" s="76"/>
      <c r="AN90" s="76"/>
      <c r="AO90" s="80"/>
      <c r="AP90" s="82"/>
      <c r="AQ90" s="76"/>
      <c r="AR90" s="76"/>
      <c r="AS90" s="80"/>
      <c r="AT90" s="82"/>
      <c r="AU90" s="76"/>
      <c r="AV90" s="76"/>
      <c r="AW90" s="80"/>
      <c r="AX90" s="82"/>
      <c r="AY90" s="76"/>
      <c r="AZ90" s="76"/>
      <c r="BA90" s="80"/>
      <c r="BB90" s="82"/>
      <c r="BC90" s="76"/>
      <c r="BD90" s="76"/>
      <c r="BE90" s="80"/>
      <c r="BF90" s="82"/>
      <c r="BG90" s="76"/>
      <c r="BH90" s="76"/>
      <c r="BI90" s="80"/>
      <c r="BJ90" s="82"/>
      <c r="BK90" s="76"/>
      <c r="BL90" s="76"/>
      <c r="BM90" s="80"/>
      <c r="BN90" s="82"/>
      <c r="BO90" s="76"/>
      <c r="BP90" s="76"/>
      <c r="BQ90" s="80"/>
      <c r="BR90" s="82"/>
      <c r="BS90" s="76"/>
      <c r="BT90" s="76"/>
      <c r="BU90" s="80"/>
      <c r="BV90" s="82"/>
      <c r="BW90" s="76"/>
      <c r="BX90" s="76"/>
      <c r="BY90" s="80"/>
      <c r="BZ90" s="82"/>
      <c r="CA90" s="76"/>
      <c r="CB90" s="76"/>
      <c r="CC90" s="80"/>
      <c r="CD90" s="82"/>
      <c r="CE90" s="76"/>
      <c r="CF90" s="76"/>
      <c r="CG90" s="80"/>
      <c r="CH90" s="82"/>
      <c r="CI90" s="76"/>
      <c r="CJ90" s="76"/>
      <c r="CK90" s="80"/>
      <c r="CL90" s="82"/>
      <c r="CM90" s="76"/>
      <c r="CN90" s="76"/>
      <c r="CO90" s="80"/>
      <c r="CP90" s="82"/>
      <c r="CQ90" s="76"/>
      <c r="CR90" s="76"/>
      <c r="CS90" s="80"/>
      <c r="CT90" s="82"/>
      <c r="CU90" s="76"/>
      <c r="CV90" s="76"/>
      <c r="CW90" s="80"/>
      <c r="CX90" s="82"/>
      <c r="CY90" s="76"/>
      <c r="CZ90" s="76"/>
      <c r="DA90" s="80"/>
      <c r="DB90" s="82"/>
      <c r="DC90" s="76"/>
      <c r="DD90" s="76"/>
      <c r="DE90" s="80"/>
      <c r="DF90" s="82"/>
      <c r="DG90" s="76"/>
      <c r="DH90" s="76"/>
      <c r="DI90" s="80"/>
      <c r="DJ90" s="82"/>
      <c r="DK90" s="76"/>
      <c r="DL90" s="76"/>
      <c r="DM90" s="80"/>
      <c r="DN90" s="82"/>
      <c r="DO90" s="76"/>
      <c r="DP90" s="76"/>
      <c r="DQ90" s="80"/>
      <c r="DR90" s="82"/>
      <c r="DS90" s="76"/>
      <c r="DT90" s="76"/>
      <c r="DU90" s="80"/>
      <c r="DV90" s="82"/>
      <c r="DW90" s="76"/>
      <c r="DX90" s="76"/>
      <c r="DY90" s="80"/>
      <c r="DZ90" s="82"/>
      <c r="EA90" s="76"/>
      <c r="EB90" s="76"/>
      <c r="EC90" s="80"/>
      <c r="ED90" s="82"/>
      <c r="EE90" s="76"/>
      <c r="EF90" s="76"/>
      <c r="EG90" s="80"/>
      <c r="EH90" s="82"/>
      <c r="EI90" s="76"/>
      <c r="EJ90" s="76"/>
      <c r="EK90" s="80"/>
      <c r="EL90" s="82"/>
      <c r="EM90" s="76"/>
      <c r="EN90" s="76"/>
      <c r="EO90" s="80"/>
      <c r="EP90" s="82"/>
      <c r="EQ90" s="76"/>
      <c r="ER90" s="76"/>
      <c r="ES90" s="80"/>
      <c r="ET90" s="82"/>
      <c r="EU90" s="76"/>
      <c r="EV90" s="76"/>
      <c r="EW90" s="80"/>
      <c r="EX90" s="82"/>
      <c r="EY90" s="76"/>
      <c r="EZ90" s="76"/>
      <c r="FA90" s="80"/>
      <c r="FB90" s="82"/>
      <c r="FC90" s="76"/>
      <c r="FD90" s="76"/>
      <c r="FE90" s="80"/>
      <c r="FF90" s="82"/>
      <c r="FG90" s="76"/>
      <c r="FH90" s="76"/>
      <c r="FI90" s="80"/>
      <c r="FJ90" s="82"/>
      <c r="FK90" s="76"/>
      <c r="FL90" s="76"/>
      <c r="FM90" s="80"/>
      <c r="FN90" s="82"/>
      <c r="FO90" s="76"/>
      <c r="FP90" s="76"/>
      <c r="FQ90" s="80"/>
      <c r="FR90" s="82"/>
      <c r="FS90" s="76"/>
      <c r="FT90" s="76"/>
      <c r="FU90" s="80"/>
      <c r="FV90" s="82"/>
      <c r="FW90" s="76"/>
      <c r="FX90" s="76"/>
      <c r="FY90" s="80"/>
      <c r="FZ90" s="82"/>
      <c r="GA90" s="76"/>
      <c r="GB90" s="76"/>
      <c r="GC90" s="80"/>
      <c r="GD90" s="82"/>
      <c r="GE90" s="76"/>
      <c r="GF90" s="76"/>
      <c r="GG90" s="80"/>
      <c r="GH90" s="82"/>
      <c r="GI90" s="76"/>
      <c r="GJ90" s="76"/>
      <c r="GK90" s="80"/>
      <c r="GL90" s="82"/>
      <c r="GM90" s="76"/>
      <c r="GN90" s="76"/>
      <c r="GO90" s="80"/>
      <c r="GP90" s="82"/>
      <c r="GQ90" s="76"/>
      <c r="GR90" s="76"/>
      <c r="GS90" s="80"/>
      <c r="GT90" s="82"/>
      <c r="GU90" s="76"/>
      <c r="GV90" s="76"/>
      <c r="GW90" s="80"/>
      <c r="GX90" s="82"/>
      <c r="GY90" s="76"/>
      <c r="GZ90" s="76"/>
      <c r="HA90" s="80"/>
      <c r="HB90" s="82"/>
      <c r="HC90" s="76"/>
      <c r="HD90" s="76"/>
      <c r="HE90" s="80"/>
      <c r="HF90" s="82"/>
      <c r="HG90" s="76"/>
      <c r="HH90" s="76"/>
      <c r="HI90" s="80"/>
      <c r="HJ90" s="82"/>
      <c r="HK90" s="76"/>
      <c r="HL90" s="76"/>
      <c r="HM90" s="80"/>
      <c r="HN90" s="82"/>
      <c r="HO90" s="76"/>
      <c r="HP90" s="76"/>
      <c r="HQ90" s="80"/>
      <c r="HR90" s="82"/>
      <c r="HS90" s="76"/>
      <c r="HT90" s="76"/>
      <c r="HU90" s="80"/>
      <c r="HV90" s="82"/>
      <c r="HW90" s="76"/>
      <c r="HX90" s="76"/>
      <c r="HY90" s="80"/>
      <c r="HZ90" s="82"/>
      <c r="IA90" s="76"/>
      <c r="IB90" s="76"/>
      <c r="IC90" s="80"/>
      <c r="ID90" s="82"/>
      <c r="IE90" s="76"/>
      <c r="IF90" s="76"/>
      <c r="IG90" s="80"/>
      <c r="IH90" s="82"/>
      <c r="II90" s="76"/>
      <c r="IJ90" s="76"/>
      <c r="IK90" s="80"/>
      <c r="IL90" s="82"/>
      <c r="IM90" s="76"/>
      <c r="IN90" s="76"/>
      <c r="IO90" s="80"/>
      <c r="IP90" s="82"/>
      <c r="IQ90" s="76"/>
      <c r="IR90" s="76"/>
      <c r="IS90" s="80"/>
      <c r="IT90" s="82"/>
      <c r="IU90" s="76"/>
      <c r="IV90" s="76"/>
    </row>
    <row r="91" spans="1:256" s="77" customFormat="1">
      <c r="A91" s="80"/>
      <c r="B91" s="81" t="s">
        <v>120</v>
      </c>
      <c r="C91" s="54">
        <v>3</v>
      </c>
      <c r="D91" s="55" t="s">
        <v>121</v>
      </c>
      <c r="E91" s="55" t="s">
        <v>79</v>
      </c>
      <c r="F91" s="75"/>
      <c r="G91" s="76"/>
      <c r="H91" s="76"/>
      <c r="I91" s="80"/>
      <c r="J91" s="75"/>
      <c r="K91" s="76"/>
      <c r="L91" s="76"/>
      <c r="M91" s="80"/>
      <c r="N91" s="75"/>
      <c r="O91" s="76"/>
      <c r="P91" s="76"/>
      <c r="Q91" s="80"/>
      <c r="R91" s="75"/>
      <c r="S91" s="76"/>
      <c r="T91" s="76"/>
      <c r="U91" s="80"/>
      <c r="V91" s="75"/>
      <c r="W91" s="76"/>
      <c r="X91" s="76"/>
      <c r="Y91" s="80"/>
      <c r="Z91" s="75"/>
      <c r="AA91" s="76"/>
      <c r="AB91" s="76"/>
      <c r="AC91" s="80"/>
      <c r="AD91" s="75"/>
      <c r="AE91" s="76"/>
      <c r="AF91" s="76"/>
      <c r="AG91" s="80"/>
      <c r="AH91" s="75"/>
      <c r="AI91" s="76"/>
      <c r="AJ91" s="76"/>
      <c r="AK91" s="80"/>
      <c r="AL91" s="75"/>
      <c r="AM91" s="76"/>
      <c r="AN91" s="76"/>
      <c r="AO91" s="80"/>
      <c r="AP91" s="75"/>
      <c r="AQ91" s="76"/>
      <c r="AR91" s="76"/>
      <c r="AS91" s="80"/>
      <c r="AT91" s="75"/>
      <c r="AU91" s="76"/>
      <c r="AV91" s="76"/>
      <c r="AW91" s="80"/>
      <c r="AX91" s="75"/>
      <c r="AY91" s="76"/>
      <c r="AZ91" s="76"/>
      <c r="BA91" s="80"/>
      <c r="BB91" s="75"/>
      <c r="BC91" s="76"/>
      <c r="BD91" s="76"/>
      <c r="BE91" s="80"/>
      <c r="BF91" s="75"/>
      <c r="BG91" s="76"/>
      <c r="BH91" s="76"/>
      <c r="BI91" s="80"/>
      <c r="BJ91" s="75"/>
      <c r="BK91" s="76"/>
      <c r="BL91" s="76"/>
      <c r="BM91" s="80"/>
      <c r="BN91" s="75"/>
      <c r="BO91" s="76"/>
      <c r="BP91" s="76"/>
      <c r="BQ91" s="80"/>
      <c r="BR91" s="75"/>
      <c r="BS91" s="76"/>
      <c r="BT91" s="76"/>
      <c r="BU91" s="80"/>
      <c r="BV91" s="75"/>
      <c r="BW91" s="76"/>
      <c r="BX91" s="76"/>
      <c r="BY91" s="80"/>
      <c r="BZ91" s="75"/>
      <c r="CA91" s="76"/>
      <c r="CB91" s="76"/>
      <c r="CC91" s="80"/>
      <c r="CD91" s="75"/>
      <c r="CE91" s="76"/>
      <c r="CF91" s="76"/>
      <c r="CG91" s="80"/>
      <c r="CH91" s="75"/>
      <c r="CI91" s="76"/>
      <c r="CJ91" s="76"/>
      <c r="CK91" s="80"/>
      <c r="CL91" s="75"/>
      <c r="CM91" s="76"/>
      <c r="CN91" s="76"/>
      <c r="CO91" s="80"/>
      <c r="CP91" s="75"/>
      <c r="CQ91" s="76"/>
      <c r="CR91" s="76"/>
      <c r="CS91" s="80"/>
      <c r="CT91" s="75"/>
      <c r="CU91" s="76"/>
      <c r="CV91" s="76"/>
      <c r="CW91" s="80"/>
      <c r="CX91" s="75"/>
      <c r="CY91" s="76"/>
      <c r="CZ91" s="76"/>
      <c r="DA91" s="80"/>
      <c r="DB91" s="75"/>
      <c r="DC91" s="76"/>
      <c r="DD91" s="76"/>
      <c r="DE91" s="80"/>
      <c r="DF91" s="75"/>
      <c r="DG91" s="76"/>
      <c r="DH91" s="76"/>
      <c r="DI91" s="80"/>
      <c r="DJ91" s="75"/>
      <c r="DK91" s="76"/>
      <c r="DL91" s="76"/>
      <c r="DM91" s="80"/>
      <c r="DN91" s="75"/>
      <c r="DO91" s="76"/>
      <c r="DP91" s="76"/>
      <c r="DQ91" s="80"/>
      <c r="DR91" s="75"/>
      <c r="DS91" s="76"/>
      <c r="DT91" s="76"/>
      <c r="DU91" s="80"/>
      <c r="DV91" s="75"/>
      <c r="DW91" s="76"/>
      <c r="DX91" s="76"/>
      <c r="DY91" s="80"/>
      <c r="DZ91" s="75"/>
      <c r="EA91" s="76"/>
      <c r="EB91" s="76"/>
      <c r="EC91" s="80"/>
      <c r="ED91" s="75"/>
      <c r="EE91" s="76"/>
      <c r="EF91" s="76"/>
      <c r="EG91" s="80"/>
      <c r="EH91" s="75"/>
      <c r="EI91" s="76"/>
      <c r="EJ91" s="76"/>
      <c r="EK91" s="80"/>
      <c r="EL91" s="75"/>
      <c r="EM91" s="76"/>
      <c r="EN91" s="76"/>
      <c r="EO91" s="80"/>
      <c r="EP91" s="75"/>
      <c r="EQ91" s="76"/>
      <c r="ER91" s="76"/>
      <c r="ES91" s="80"/>
      <c r="ET91" s="75"/>
      <c r="EU91" s="76"/>
      <c r="EV91" s="76"/>
      <c r="EW91" s="80"/>
      <c r="EX91" s="75"/>
      <c r="EY91" s="76"/>
      <c r="EZ91" s="76"/>
      <c r="FA91" s="80"/>
      <c r="FB91" s="75"/>
      <c r="FC91" s="76"/>
      <c r="FD91" s="76"/>
      <c r="FE91" s="80"/>
      <c r="FF91" s="75"/>
      <c r="FG91" s="76"/>
      <c r="FH91" s="76"/>
      <c r="FI91" s="80"/>
      <c r="FJ91" s="75"/>
      <c r="FK91" s="76"/>
      <c r="FL91" s="76"/>
      <c r="FM91" s="80"/>
      <c r="FN91" s="75"/>
      <c r="FO91" s="76"/>
      <c r="FP91" s="76"/>
      <c r="FQ91" s="80"/>
      <c r="FR91" s="75"/>
      <c r="FS91" s="76"/>
      <c r="FT91" s="76"/>
      <c r="FU91" s="80"/>
      <c r="FV91" s="75"/>
      <c r="FW91" s="76"/>
      <c r="FX91" s="76"/>
      <c r="FY91" s="80"/>
      <c r="FZ91" s="75"/>
      <c r="GA91" s="76"/>
      <c r="GB91" s="76"/>
      <c r="GC91" s="80"/>
      <c r="GD91" s="75"/>
      <c r="GE91" s="76"/>
      <c r="GF91" s="76"/>
      <c r="GG91" s="80"/>
      <c r="GH91" s="75"/>
      <c r="GI91" s="76"/>
      <c r="GJ91" s="76"/>
      <c r="GK91" s="80"/>
      <c r="GL91" s="75"/>
      <c r="GM91" s="76"/>
      <c r="GN91" s="76"/>
      <c r="GO91" s="80"/>
      <c r="GP91" s="75"/>
      <c r="GQ91" s="76"/>
      <c r="GR91" s="76"/>
      <c r="GS91" s="80"/>
      <c r="GT91" s="75"/>
      <c r="GU91" s="76"/>
      <c r="GV91" s="76"/>
      <c r="GW91" s="80"/>
      <c r="GX91" s="75"/>
      <c r="GY91" s="76"/>
      <c r="GZ91" s="76"/>
      <c r="HA91" s="80"/>
      <c r="HB91" s="75"/>
      <c r="HC91" s="76"/>
      <c r="HD91" s="76"/>
      <c r="HE91" s="80"/>
      <c r="HF91" s="75"/>
      <c r="HG91" s="76"/>
      <c r="HH91" s="76"/>
      <c r="HI91" s="80"/>
      <c r="HJ91" s="75"/>
      <c r="HK91" s="76"/>
      <c r="HL91" s="76"/>
      <c r="HM91" s="80"/>
      <c r="HN91" s="75"/>
      <c r="HO91" s="76"/>
      <c r="HP91" s="76"/>
      <c r="HQ91" s="80"/>
      <c r="HR91" s="75"/>
      <c r="HS91" s="76"/>
      <c r="HT91" s="76"/>
      <c r="HU91" s="80"/>
      <c r="HV91" s="75"/>
      <c r="HW91" s="76"/>
      <c r="HX91" s="76"/>
      <c r="HY91" s="80"/>
      <c r="HZ91" s="75"/>
      <c r="IA91" s="76"/>
      <c r="IB91" s="76"/>
      <c r="IC91" s="80"/>
      <c r="ID91" s="75"/>
      <c r="IE91" s="76"/>
      <c r="IF91" s="76"/>
      <c r="IG91" s="80"/>
      <c r="IH91" s="75"/>
      <c r="II91" s="76"/>
      <c r="IJ91" s="76"/>
      <c r="IK91" s="80"/>
      <c r="IL91" s="75"/>
      <c r="IM91" s="76"/>
      <c r="IN91" s="76"/>
      <c r="IO91" s="80"/>
      <c r="IP91" s="75"/>
      <c r="IQ91" s="76"/>
      <c r="IR91" s="76"/>
      <c r="IS91" s="80"/>
      <c r="IT91" s="75"/>
      <c r="IU91" s="76"/>
      <c r="IV91" s="76"/>
    </row>
    <row r="92" spans="1:256" s="77" customFormat="1">
      <c r="A92" s="80"/>
      <c r="B92" s="81" t="s">
        <v>122</v>
      </c>
      <c r="C92" s="83">
        <f>C14</f>
        <v>7</v>
      </c>
      <c r="D92" s="55" t="s">
        <v>123</v>
      </c>
      <c r="E92" s="55" t="s">
        <v>79</v>
      </c>
      <c r="F92" s="84"/>
      <c r="G92" s="76"/>
      <c r="H92" s="76"/>
      <c r="I92" s="80"/>
      <c r="J92" s="84"/>
      <c r="K92" s="76"/>
      <c r="L92" s="76"/>
      <c r="M92" s="80"/>
      <c r="N92" s="84"/>
      <c r="O92" s="76"/>
      <c r="P92" s="76"/>
      <c r="Q92" s="80"/>
      <c r="R92" s="84"/>
      <c r="S92" s="76"/>
      <c r="T92" s="76"/>
      <c r="U92" s="80"/>
      <c r="V92" s="84"/>
      <c r="W92" s="76"/>
      <c r="X92" s="76"/>
      <c r="Y92" s="80"/>
      <c r="Z92" s="84"/>
      <c r="AA92" s="76"/>
      <c r="AB92" s="76"/>
      <c r="AC92" s="80"/>
      <c r="AD92" s="84"/>
      <c r="AE92" s="76"/>
      <c r="AF92" s="76"/>
      <c r="AG92" s="80"/>
      <c r="AH92" s="84"/>
      <c r="AI92" s="76"/>
      <c r="AJ92" s="76"/>
      <c r="AK92" s="80"/>
      <c r="AL92" s="84"/>
      <c r="AM92" s="76"/>
      <c r="AN92" s="76"/>
      <c r="AO92" s="80"/>
      <c r="AP92" s="84"/>
      <c r="AQ92" s="76"/>
      <c r="AR92" s="76"/>
      <c r="AS92" s="80"/>
      <c r="AT92" s="84"/>
      <c r="AU92" s="76"/>
      <c r="AV92" s="76"/>
      <c r="AW92" s="80"/>
      <c r="AX92" s="84"/>
      <c r="AY92" s="76"/>
      <c r="AZ92" s="76"/>
      <c r="BA92" s="80"/>
      <c r="BB92" s="84"/>
      <c r="BC92" s="76"/>
      <c r="BD92" s="76"/>
      <c r="BE92" s="80"/>
      <c r="BF92" s="84"/>
      <c r="BG92" s="76"/>
      <c r="BH92" s="76"/>
      <c r="BI92" s="80"/>
      <c r="BJ92" s="84"/>
      <c r="BK92" s="76"/>
      <c r="BL92" s="76"/>
      <c r="BM92" s="80"/>
      <c r="BN92" s="84"/>
      <c r="BO92" s="76"/>
      <c r="BP92" s="76"/>
      <c r="BQ92" s="80"/>
      <c r="BR92" s="84"/>
      <c r="BS92" s="76"/>
      <c r="BT92" s="76"/>
      <c r="BU92" s="80"/>
      <c r="BV92" s="84"/>
      <c r="BW92" s="76"/>
      <c r="BX92" s="76"/>
      <c r="BY92" s="80"/>
      <c r="BZ92" s="84"/>
      <c r="CA92" s="76"/>
      <c r="CB92" s="76"/>
      <c r="CC92" s="80"/>
      <c r="CD92" s="84"/>
      <c r="CE92" s="76"/>
      <c r="CF92" s="76"/>
      <c r="CG92" s="80"/>
      <c r="CH92" s="84"/>
      <c r="CI92" s="76"/>
      <c r="CJ92" s="76"/>
      <c r="CK92" s="80"/>
      <c r="CL92" s="84"/>
      <c r="CM92" s="76"/>
      <c r="CN92" s="76"/>
      <c r="CO92" s="80"/>
      <c r="CP92" s="84"/>
      <c r="CQ92" s="76"/>
      <c r="CR92" s="76"/>
      <c r="CS92" s="80"/>
      <c r="CT92" s="84"/>
      <c r="CU92" s="76"/>
      <c r="CV92" s="76"/>
      <c r="CW92" s="80"/>
      <c r="CX92" s="84"/>
      <c r="CY92" s="76"/>
      <c r="CZ92" s="76"/>
      <c r="DA92" s="80"/>
      <c r="DB92" s="84"/>
      <c r="DC92" s="76"/>
      <c r="DD92" s="76"/>
      <c r="DE92" s="80"/>
      <c r="DF92" s="84"/>
      <c r="DG92" s="76"/>
      <c r="DH92" s="76"/>
      <c r="DI92" s="80"/>
      <c r="DJ92" s="84"/>
      <c r="DK92" s="76"/>
      <c r="DL92" s="76"/>
      <c r="DM92" s="80"/>
      <c r="DN92" s="84"/>
      <c r="DO92" s="76"/>
      <c r="DP92" s="76"/>
      <c r="DQ92" s="80"/>
      <c r="DR92" s="84"/>
      <c r="DS92" s="76"/>
      <c r="DT92" s="76"/>
      <c r="DU92" s="80"/>
      <c r="DV92" s="84"/>
      <c r="DW92" s="76"/>
      <c r="DX92" s="76"/>
      <c r="DY92" s="80"/>
      <c r="DZ92" s="84"/>
      <c r="EA92" s="76"/>
      <c r="EB92" s="76"/>
      <c r="EC92" s="80"/>
      <c r="ED92" s="84"/>
      <c r="EE92" s="76"/>
      <c r="EF92" s="76"/>
      <c r="EG92" s="80"/>
      <c r="EH92" s="84"/>
      <c r="EI92" s="76"/>
      <c r="EJ92" s="76"/>
      <c r="EK92" s="80"/>
      <c r="EL92" s="84"/>
      <c r="EM92" s="76"/>
      <c r="EN92" s="76"/>
      <c r="EO92" s="80"/>
      <c r="EP92" s="84"/>
      <c r="EQ92" s="76"/>
      <c r="ER92" s="76"/>
      <c r="ES92" s="80"/>
      <c r="ET92" s="84"/>
      <c r="EU92" s="76"/>
      <c r="EV92" s="76"/>
      <c r="EW92" s="80"/>
      <c r="EX92" s="84"/>
      <c r="EY92" s="76"/>
      <c r="EZ92" s="76"/>
      <c r="FA92" s="80"/>
      <c r="FB92" s="84"/>
      <c r="FC92" s="76"/>
      <c r="FD92" s="76"/>
      <c r="FE92" s="80"/>
      <c r="FF92" s="84"/>
      <c r="FG92" s="76"/>
      <c r="FH92" s="76"/>
      <c r="FI92" s="80"/>
      <c r="FJ92" s="84"/>
      <c r="FK92" s="76"/>
      <c r="FL92" s="76"/>
      <c r="FM92" s="80"/>
      <c r="FN92" s="84"/>
      <c r="FO92" s="76"/>
      <c r="FP92" s="76"/>
      <c r="FQ92" s="80"/>
      <c r="FR92" s="84"/>
      <c r="FS92" s="76"/>
      <c r="FT92" s="76"/>
      <c r="FU92" s="80"/>
      <c r="FV92" s="84"/>
      <c r="FW92" s="76"/>
      <c r="FX92" s="76"/>
      <c r="FY92" s="80"/>
      <c r="FZ92" s="84"/>
      <c r="GA92" s="76"/>
      <c r="GB92" s="76"/>
      <c r="GC92" s="80"/>
      <c r="GD92" s="84"/>
      <c r="GE92" s="76"/>
      <c r="GF92" s="76"/>
      <c r="GG92" s="80"/>
      <c r="GH92" s="84"/>
      <c r="GI92" s="76"/>
      <c r="GJ92" s="76"/>
      <c r="GK92" s="80"/>
      <c r="GL92" s="84"/>
      <c r="GM92" s="76"/>
      <c r="GN92" s="76"/>
      <c r="GO92" s="80"/>
      <c r="GP92" s="84"/>
      <c r="GQ92" s="76"/>
      <c r="GR92" s="76"/>
      <c r="GS92" s="80"/>
      <c r="GT92" s="84"/>
      <c r="GU92" s="76"/>
      <c r="GV92" s="76"/>
      <c r="GW92" s="80"/>
      <c r="GX92" s="84"/>
      <c r="GY92" s="76"/>
      <c r="GZ92" s="76"/>
      <c r="HA92" s="80"/>
      <c r="HB92" s="84"/>
      <c r="HC92" s="76"/>
      <c r="HD92" s="76"/>
      <c r="HE92" s="80"/>
      <c r="HF92" s="84"/>
      <c r="HG92" s="76"/>
      <c r="HH92" s="76"/>
      <c r="HI92" s="80"/>
      <c r="HJ92" s="84"/>
      <c r="HK92" s="76"/>
      <c r="HL92" s="76"/>
      <c r="HM92" s="80"/>
      <c r="HN92" s="84"/>
      <c r="HO92" s="76"/>
      <c r="HP92" s="76"/>
      <c r="HQ92" s="80"/>
      <c r="HR92" s="84"/>
      <c r="HS92" s="76"/>
      <c r="HT92" s="76"/>
      <c r="HU92" s="80"/>
      <c r="HV92" s="84"/>
      <c r="HW92" s="76"/>
      <c r="HX92" s="76"/>
      <c r="HY92" s="80"/>
      <c r="HZ92" s="84"/>
      <c r="IA92" s="76"/>
      <c r="IB92" s="76"/>
      <c r="IC92" s="80"/>
      <c r="ID92" s="84"/>
      <c r="IE92" s="76"/>
      <c r="IF92" s="76"/>
      <c r="IG92" s="80"/>
      <c r="IH92" s="84"/>
      <c r="II92" s="76"/>
      <c r="IJ92" s="76"/>
      <c r="IK92" s="80"/>
      <c r="IL92" s="84"/>
      <c r="IM92" s="76"/>
      <c r="IN92" s="76"/>
      <c r="IO92" s="80"/>
      <c r="IP92" s="84"/>
      <c r="IQ92" s="76"/>
      <c r="IR92" s="76"/>
      <c r="IS92" s="80"/>
      <c r="IT92" s="84"/>
      <c r="IU92" s="76"/>
      <c r="IV92" s="76"/>
    </row>
    <row r="93" spans="1:256" s="77" customFormat="1">
      <c r="A93" s="80"/>
      <c r="B93" s="81" t="s">
        <v>124</v>
      </c>
      <c r="C93" s="85">
        <f>((+C92/100)*((1+C92/100)^C91))/(((1+C92/100)^C91)-1)</f>
        <v>0.38105166568166965</v>
      </c>
      <c r="D93" s="55" t="s">
        <v>125</v>
      </c>
      <c r="E93" s="55" t="s">
        <v>85</v>
      </c>
      <c r="F93" s="86"/>
      <c r="G93" s="76"/>
      <c r="H93" s="76"/>
      <c r="I93" s="80"/>
      <c r="J93" s="86"/>
      <c r="K93" s="76"/>
      <c r="L93" s="76"/>
      <c r="M93" s="80"/>
      <c r="N93" s="86"/>
      <c r="O93" s="76"/>
      <c r="P93" s="76"/>
      <c r="Q93" s="80"/>
      <c r="R93" s="86"/>
      <c r="S93" s="76"/>
      <c r="T93" s="76"/>
      <c r="U93" s="80"/>
      <c r="V93" s="86"/>
      <c r="W93" s="76"/>
      <c r="X93" s="76"/>
      <c r="Y93" s="80"/>
      <c r="Z93" s="86"/>
      <c r="AA93" s="76"/>
      <c r="AB93" s="76"/>
      <c r="AC93" s="80"/>
      <c r="AD93" s="86"/>
      <c r="AE93" s="76"/>
      <c r="AF93" s="76"/>
      <c r="AG93" s="80"/>
      <c r="AH93" s="86"/>
      <c r="AI93" s="76"/>
      <c r="AJ93" s="76"/>
      <c r="AK93" s="80"/>
      <c r="AL93" s="86"/>
      <c r="AM93" s="76"/>
      <c r="AN93" s="76"/>
      <c r="AO93" s="80"/>
      <c r="AP93" s="86"/>
      <c r="AQ93" s="76"/>
      <c r="AR93" s="76"/>
      <c r="AS93" s="80"/>
      <c r="AT93" s="86"/>
      <c r="AU93" s="76"/>
      <c r="AV93" s="76"/>
      <c r="AW93" s="80"/>
      <c r="AX93" s="86"/>
      <c r="AY93" s="76"/>
      <c r="AZ93" s="76"/>
      <c r="BA93" s="80"/>
      <c r="BB93" s="86"/>
      <c r="BC93" s="76"/>
      <c r="BD93" s="76"/>
      <c r="BE93" s="80"/>
      <c r="BF93" s="86"/>
      <c r="BG93" s="76"/>
      <c r="BH93" s="76"/>
      <c r="BI93" s="80"/>
      <c r="BJ93" s="86"/>
      <c r="BK93" s="76"/>
      <c r="BL93" s="76"/>
      <c r="BM93" s="80"/>
      <c r="BN93" s="86"/>
      <c r="BO93" s="76"/>
      <c r="BP93" s="76"/>
      <c r="BQ93" s="80"/>
      <c r="BR93" s="86"/>
      <c r="BS93" s="76"/>
      <c r="BT93" s="76"/>
      <c r="BU93" s="80"/>
      <c r="BV93" s="86"/>
      <c r="BW93" s="76"/>
      <c r="BX93" s="76"/>
      <c r="BY93" s="80"/>
      <c r="BZ93" s="86"/>
      <c r="CA93" s="76"/>
      <c r="CB93" s="76"/>
      <c r="CC93" s="80"/>
      <c r="CD93" s="86"/>
      <c r="CE93" s="76"/>
      <c r="CF93" s="76"/>
      <c r="CG93" s="80"/>
      <c r="CH93" s="86"/>
      <c r="CI93" s="76"/>
      <c r="CJ93" s="76"/>
      <c r="CK93" s="80"/>
      <c r="CL93" s="86"/>
      <c r="CM93" s="76"/>
      <c r="CN93" s="76"/>
      <c r="CO93" s="80"/>
      <c r="CP93" s="86"/>
      <c r="CQ93" s="76"/>
      <c r="CR93" s="76"/>
      <c r="CS93" s="80"/>
      <c r="CT93" s="86"/>
      <c r="CU93" s="76"/>
      <c r="CV93" s="76"/>
      <c r="CW93" s="80"/>
      <c r="CX93" s="86"/>
      <c r="CY93" s="76"/>
      <c r="CZ93" s="76"/>
      <c r="DA93" s="80"/>
      <c r="DB93" s="86"/>
      <c r="DC93" s="76"/>
      <c r="DD93" s="76"/>
      <c r="DE93" s="80"/>
      <c r="DF93" s="86"/>
      <c r="DG93" s="76"/>
      <c r="DH93" s="76"/>
      <c r="DI93" s="80"/>
      <c r="DJ93" s="86"/>
      <c r="DK93" s="76"/>
      <c r="DL93" s="76"/>
      <c r="DM93" s="80"/>
      <c r="DN93" s="86"/>
      <c r="DO93" s="76"/>
      <c r="DP93" s="76"/>
      <c r="DQ93" s="80"/>
      <c r="DR93" s="86"/>
      <c r="DS93" s="76"/>
      <c r="DT93" s="76"/>
      <c r="DU93" s="80"/>
      <c r="DV93" s="86"/>
      <c r="DW93" s="76"/>
      <c r="DX93" s="76"/>
      <c r="DY93" s="80"/>
      <c r="DZ93" s="86"/>
      <c r="EA93" s="76"/>
      <c r="EB93" s="76"/>
      <c r="EC93" s="80"/>
      <c r="ED93" s="86"/>
      <c r="EE93" s="76"/>
      <c r="EF93" s="76"/>
      <c r="EG93" s="80"/>
      <c r="EH93" s="86"/>
      <c r="EI93" s="76"/>
      <c r="EJ93" s="76"/>
      <c r="EK93" s="80"/>
      <c r="EL93" s="86"/>
      <c r="EM93" s="76"/>
      <c r="EN93" s="76"/>
      <c r="EO93" s="80"/>
      <c r="EP93" s="86"/>
      <c r="EQ93" s="76"/>
      <c r="ER93" s="76"/>
      <c r="ES93" s="80"/>
      <c r="ET93" s="86"/>
      <c r="EU93" s="76"/>
      <c r="EV93" s="76"/>
      <c r="EW93" s="80"/>
      <c r="EX93" s="86"/>
      <c r="EY93" s="76"/>
      <c r="EZ93" s="76"/>
      <c r="FA93" s="80"/>
      <c r="FB93" s="86"/>
      <c r="FC93" s="76"/>
      <c r="FD93" s="76"/>
      <c r="FE93" s="80"/>
      <c r="FF93" s="86"/>
      <c r="FG93" s="76"/>
      <c r="FH93" s="76"/>
      <c r="FI93" s="80"/>
      <c r="FJ93" s="86"/>
      <c r="FK93" s="76"/>
      <c r="FL93" s="76"/>
      <c r="FM93" s="80"/>
      <c r="FN93" s="86"/>
      <c r="FO93" s="76"/>
      <c r="FP93" s="76"/>
      <c r="FQ93" s="80"/>
      <c r="FR93" s="86"/>
      <c r="FS93" s="76"/>
      <c r="FT93" s="76"/>
      <c r="FU93" s="80"/>
      <c r="FV93" s="86"/>
      <c r="FW93" s="76"/>
      <c r="FX93" s="76"/>
      <c r="FY93" s="80"/>
      <c r="FZ93" s="86"/>
      <c r="GA93" s="76"/>
      <c r="GB93" s="76"/>
      <c r="GC93" s="80"/>
      <c r="GD93" s="86"/>
      <c r="GE93" s="76"/>
      <c r="GF93" s="76"/>
      <c r="GG93" s="80"/>
      <c r="GH93" s="86"/>
      <c r="GI93" s="76"/>
      <c r="GJ93" s="76"/>
      <c r="GK93" s="80"/>
      <c r="GL93" s="86"/>
      <c r="GM93" s="76"/>
      <c r="GN93" s="76"/>
      <c r="GO93" s="80"/>
      <c r="GP93" s="86"/>
      <c r="GQ93" s="76"/>
      <c r="GR93" s="76"/>
      <c r="GS93" s="80"/>
      <c r="GT93" s="86"/>
      <c r="GU93" s="76"/>
      <c r="GV93" s="76"/>
      <c r="GW93" s="80"/>
      <c r="GX93" s="86"/>
      <c r="GY93" s="76"/>
      <c r="GZ93" s="76"/>
      <c r="HA93" s="80"/>
      <c r="HB93" s="86"/>
      <c r="HC93" s="76"/>
      <c r="HD93" s="76"/>
      <c r="HE93" s="80"/>
      <c r="HF93" s="86"/>
      <c r="HG93" s="76"/>
      <c r="HH93" s="76"/>
      <c r="HI93" s="80"/>
      <c r="HJ93" s="86"/>
      <c r="HK93" s="76"/>
      <c r="HL93" s="76"/>
      <c r="HM93" s="80"/>
      <c r="HN93" s="86"/>
      <c r="HO93" s="76"/>
      <c r="HP93" s="76"/>
      <c r="HQ93" s="80"/>
      <c r="HR93" s="86"/>
      <c r="HS93" s="76"/>
      <c r="HT93" s="76"/>
      <c r="HU93" s="80"/>
      <c r="HV93" s="86"/>
      <c r="HW93" s="76"/>
      <c r="HX93" s="76"/>
      <c r="HY93" s="80"/>
      <c r="HZ93" s="86"/>
      <c r="IA93" s="76"/>
      <c r="IB93" s="76"/>
      <c r="IC93" s="80"/>
      <c r="ID93" s="86"/>
      <c r="IE93" s="76"/>
      <c r="IF93" s="76"/>
      <c r="IG93" s="80"/>
      <c r="IH93" s="86"/>
      <c r="II93" s="76"/>
      <c r="IJ93" s="76"/>
      <c r="IK93" s="80"/>
      <c r="IL93" s="86"/>
      <c r="IM93" s="76"/>
      <c r="IN93" s="76"/>
      <c r="IO93" s="80"/>
      <c r="IP93" s="86"/>
      <c r="IQ93" s="76"/>
      <c r="IR93" s="76"/>
      <c r="IS93" s="80"/>
      <c r="IT93" s="86"/>
      <c r="IU93" s="76"/>
      <c r="IV93" s="76"/>
    </row>
    <row r="94" spans="1:256" s="77" customFormat="1">
      <c r="A94" s="80"/>
      <c r="B94" s="58" t="s">
        <v>126</v>
      </c>
      <c r="C94" s="61">
        <f>ROUND(C93*(C89+C90),-1)</f>
        <v>2660</v>
      </c>
      <c r="D94" s="60" t="s">
        <v>127</v>
      </c>
      <c r="E94" s="60" t="s">
        <v>77</v>
      </c>
      <c r="F94" s="82"/>
      <c r="G94" s="76"/>
      <c r="H94" s="76"/>
      <c r="I94" s="80"/>
      <c r="J94" s="82"/>
      <c r="K94" s="76"/>
      <c r="L94" s="76"/>
      <c r="M94" s="80"/>
      <c r="N94" s="82"/>
      <c r="O94" s="76"/>
      <c r="P94" s="76"/>
      <c r="Q94" s="80"/>
      <c r="R94" s="82"/>
      <c r="S94" s="76"/>
      <c r="T94" s="76"/>
      <c r="U94" s="80"/>
      <c r="V94" s="82"/>
      <c r="W94" s="76"/>
      <c r="X94" s="76"/>
      <c r="Y94" s="80"/>
      <c r="Z94" s="82"/>
      <c r="AA94" s="76"/>
      <c r="AB94" s="76"/>
      <c r="AC94" s="80"/>
      <c r="AD94" s="82"/>
      <c r="AE94" s="76"/>
      <c r="AF94" s="76"/>
      <c r="AG94" s="80"/>
      <c r="AH94" s="82"/>
      <c r="AI94" s="76"/>
      <c r="AJ94" s="76"/>
      <c r="AK94" s="80"/>
      <c r="AL94" s="82"/>
      <c r="AM94" s="76"/>
      <c r="AN94" s="76"/>
      <c r="AO94" s="80"/>
      <c r="AP94" s="82"/>
      <c r="AQ94" s="76"/>
      <c r="AR94" s="76"/>
      <c r="AS94" s="80"/>
      <c r="AT94" s="82"/>
      <c r="AU94" s="76"/>
      <c r="AV94" s="76"/>
      <c r="AW94" s="80"/>
      <c r="AX94" s="82"/>
      <c r="AY94" s="76"/>
      <c r="AZ94" s="76"/>
      <c r="BA94" s="80"/>
      <c r="BB94" s="82"/>
      <c r="BC94" s="76"/>
      <c r="BD94" s="76"/>
      <c r="BE94" s="80"/>
      <c r="BF94" s="82"/>
      <c r="BG94" s="76"/>
      <c r="BH94" s="76"/>
      <c r="BI94" s="80"/>
      <c r="BJ94" s="82"/>
      <c r="BK94" s="76"/>
      <c r="BL94" s="76"/>
      <c r="BM94" s="80"/>
      <c r="BN94" s="82"/>
      <c r="BO94" s="76"/>
      <c r="BP94" s="76"/>
      <c r="BQ94" s="80"/>
      <c r="BR94" s="82"/>
      <c r="BS94" s="76"/>
      <c r="BT94" s="76"/>
      <c r="BU94" s="80"/>
      <c r="BV94" s="82"/>
      <c r="BW94" s="76"/>
      <c r="BX94" s="76"/>
      <c r="BY94" s="80"/>
      <c r="BZ94" s="82"/>
      <c r="CA94" s="76"/>
      <c r="CB94" s="76"/>
      <c r="CC94" s="80"/>
      <c r="CD94" s="82"/>
      <c r="CE94" s="76"/>
      <c r="CF94" s="76"/>
      <c r="CG94" s="80"/>
      <c r="CH94" s="82"/>
      <c r="CI94" s="76"/>
      <c r="CJ94" s="76"/>
      <c r="CK94" s="80"/>
      <c r="CL94" s="82"/>
      <c r="CM94" s="76"/>
      <c r="CN94" s="76"/>
      <c r="CO94" s="80"/>
      <c r="CP94" s="82"/>
      <c r="CQ94" s="76"/>
      <c r="CR94" s="76"/>
      <c r="CS94" s="80"/>
      <c r="CT94" s="82"/>
      <c r="CU94" s="76"/>
      <c r="CV94" s="76"/>
      <c r="CW94" s="80"/>
      <c r="CX94" s="82"/>
      <c r="CY94" s="76"/>
      <c r="CZ94" s="76"/>
      <c r="DA94" s="80"/>
      <c r="DB94" s="82"/>
      <c r="DC94" s="76"/>
      <c r="DD94" s="76"/>
      <c r="DE94" s="80"/>
      <c r="DF94" s="82"/>
      <c r="DG94" s="76"/>
      <c r="DH94" s="76"/>
      <c r="DI94" s="80"/>
      <c r="DJ94" s="82"/>
      <c r="DK94" s="76"/>
      <c r="DL94" s="76"/>
      <c r="DM94" s="80"/>
      <c r="DN94" s="82"/>
      <c r="DO94" s="76"/>
      <c r="DP94" s="76"/>
      <c r="DQ94" s="80"/>
      <c r="DR94" s="82"/>
      <c r="DS94" s="76"/>
      <c r="DT94" s="76"/>
      <c r="DU94" s="80"/>
      <c r="DV94" s="82"/>
      <c r="DW94" s="76"/>
      <c r="DX94" s="76"/>
      <c r="DY94" s="80"/>
      <c r="DZ94" s="82"/>
      <c r="EA94" s="76"/>
      <c r="EB94" s="76"/>
      <c r="EC94" s="80"/>
      <c r="ED94" s="82"/>
      <c r="EE94" s="76"/>
      <c r="EF94" s="76"/>
      <c r="EG94" s="80"/>
      <c r="EH94" s="82"/>
      <c r="EI94" s="76"/>
      <c r="EJ94" s="76"/>
      <c r="EK94" s="80"/>
      <c r="EL94" s="82"/>
      <c r="EM94" s="76"/>
      <c r="EN94" s="76"/>
      <c r="EO94" s="80"/>
      <c r="EP94" s="82"/>
      <c r="EQ94" s="76"/>
      <c r="ER94" s="76"/>
      <c r="ES94" s="80"/>
      <c r="ET94" s="82"/>
      <c r="EU94" s="76"/>
      <c r="EV94" s="76"/>
      <c r="EW94" s="80"/>
      <c r="EX94" s="82"/>
      <c r="EY94" s="76"/>
      <c r="EZ94" s="76"/>
      <c r="FA94" s="80"/>
      <c r="FB94" s="82"/>
      <c r="FC94" s="76"/>
      <c r="FD94" s="76"/>
      <c r="FE94" s="80"/>
      <c r="FF94" s="82"/>
      <c r="FG94" s="76"/>
      <c r="FH94" s="76"/>
      <c r="FI94" s="80"/>
      <c r="FJ94" s="82"/>
      <c r="FK94" s="76"/>
      <c r="FL94" s="76"/>
      <c r="FM94" s="80"/>
      <c r="FN94" s="82"/>
      <c r="FO94" s="76"/>
      <c r="FP94" s="76"/>
      <c r="FQ94" s="80"/>
      <c r="FR94" s="82"/>
      <c r="FS94" s="76"/>
      <c r="FT94" s="76"/>
      <c r="FU94" s="80"/>
      <c r="FV94" s="82"/>
      <c r="FW94" s="76"/>
      <c r="FX94" s="76"/>
      <c r="FY94" s="80"/>
      <c r="FZ94" s="82"/>
      <c r="GA94" s="76"/>
      <c r="GB94" s="76"/>
      <c r="GC94" s="80"/>
      <c r="GD94" s="82"/>
      <c r="GE94" s="76"/>
      <c r="GF94" s="76"/>
      <c r="GG94" s="80"/>
      <c r="GH94" s="82"/>
      <c r="GI94" s="76"/>
      <c r="GJ94" s="76"/>
      <c r="GK94" s="80"/>
      <c r="GL94" s="82"/>
      <c r="GM94" s="76"/>
      <c r="GN94" s="76"/>
      <c r="GO94" s="80"/>
      <c r="GP94" s="82"/>
      <c r="GQ94" s="76"/>
      <c r="GR94" s="76"/>
      <c r="GS94" s="80"/>
      <c r="GT94" s="82"/>
      <c r="GU94" s="76"/>
      <c r="GV94" s="76"/>
      <c r="GW94" s="80"/>
      <c r="GX94" s="82"/>
      <c r="GY94" s="76"/>
      <c r="GZ94" s="76"/>
      <c r="HA94" s="80"/>
      <c r="HB94" s="82"/>
      <c r="HC94" s="76"/>
      <c r="HD94" s="76"/>
      <c r="HE94" s="80"/>
      <c r="HF94" s="82"/>
      <c r="HG94" s="76"/>
      <c r="HH94" s="76"/>
      <c r="HI94" s="80"/>
      <c r="HJ94" s="82"/>
      <c r="HK94" s="76"/>
      <c r="HL94" s="76"/>
      <c r="HM94" s="80"/>
      <c r="HN94" s="82"/>
      <c r="HO94" s="76"/>
      <c r="HP94" s="76"/>
      <c r="HQ94" s="80"/>
      <c r="HR94" s="82"/>
      <c r="HS94" s="76"/>
      <c r="HT94" s="76"/>
      <c r="HU94" s="80"/>
      <c r="HV94" s="82"/>
      <c r="HW94" s="76"/>
      <c r="HX94" s="76"/>
      <c r="HY94" s="80"/>
      <c r="HZ94" s="82"/>
      <c r="IA94" s="76"/>
      <c r="IB94" s="76"/>
      <c r="IC94" s="80"/>
      <c r="ID94" s="82"/>
      <c r="IE94" s="76"/>
      <c r="IF94" s="76"/>
      <c r="IG94" s="80"/>
      <c r="IH94" s="82"/>
      <c r="II94" s="76"/>
      <c r="IJ94" s="76"/>
      <c r="IK94" s="80"/>
      <c r="IL94" s="82"/>
      <c r="IM94" s="76"/>
      <c r="IN94" s="76"/>
      <c r="IO94" s="80"/>
      <c r="IP94" s="82"/>
      <c r="IQ94" s="76"/>
      <c r="IR94" s="76"/>
      <c r="IS94" s="80"/>
      <c r="IT94" s="82"/>
      <c r="IU94" s="76"/>
      <c r="IV94" s="76"/>
    </row>
    <row r="95" spans="1:256">
      <c r="B95" s="87"/>
      <c r="C95" s="88"/>
      <c r="D95" s="89"/>
      <c r="E95" s="89"/>
      <c r="G95" s="64"/>
    </row>
    <row r="96" spans="1:256">
      <c r="B96" s="90" t="s">
        <v>128</v>
      </c>
      <c r="C96" s="91">
        <f>ROUND(+C78+C71+C65+C63+C86+C94,-2)</f>
        <v>1383900</v>
      </c>
      <c r="D96" s="89"/>
      <c r="E96" s="89"/>
    </row>
    <row r="97" spans="2:5">
      <c r="B97" s="90" t="s">
        <v>129</v>
      </c>
      <c r="C97" s="92">
        <f>C6/100*C18</f>
        <v>1.2880000000000003</v>
      </c>
      <c r="D97" s="89"/>
      <c r="E97" s="89"/>
    </row>
    <row r="98" spans="2:5">
      <c r="B98" s="90" t="s">
        <v>130</v>
      </c>
      <c r="C98" s="92">
        <f>+C7/100*C20</f>
        <v>48.292200000000001</v>
      </c>
      <c r="D98" s="89"/>
      <c r="E98" s="89"/>
    </row>
    <row r="99" spans="2:5">
      <c r="B99" s="90" t="s">
        <v>131</v>
      </c>
      <c r="C99" s="93">
        <f>C96/C97</f>
        <v>1074456.5217391301</v>
      </c>
      <c r="D99" s="89"/>
      <c r="E99" s="89"/>
    </row>
    <row r="100" spans="2:5">
      <c r="B100" s="94" t="s">
        <v>132</v>
      </c>
      <c r="C100" s="95">
        <f>ROUND((C96/C98), -2)</f>
        <v>28700</v>
      </c>
      <c r="D100" s="89"/>
      <c r="E100" s="89"/>
    </row>
    <row r="101" spans="2:5">
      <c r="D101" s="7"/>
      <c r="E101" s="7"/>
    </row>
    <row r="102" spans="2:5">
      <c r="D102" s="7"/>
      <c r="E102" s="7"/>
    </row>
  </sheetData>
  <pageMargins left="0.7" right="0.7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01"/>
  <sheetViews>
    <sheetView topLeftCell="A67" workbookViewId="0">
      <selection activeCell="M23" sqref="M23"/>
    </sheetView>
  </sheetViews>
  <sheetFormatPr defaultColWidth="9.140625" defaultRowHeight="12.75"/>
  <cols>
    <col min="1" max="1" width="3.5703125" style="1" customWidth="1"/>
    <col min="2" max="2" width="40.7109375" style="1" customWidth="1"/>
    <col min="3" max="3" width="31.5703125" style="1" customWidth="1"/>
    <col min="4" max="4" width="28.85546875" style="1" customWidth="1"/>
    <col min="5" max="5" width="11.5703125" style="1" bestFit="1" customWidth="1"/>
    <col min="6" max="16384" width="9.140625" style="1"/>
  </cols>
  <sheetData>
    <row r="1" spans="2:8" ht="18">
      <c r="C1" s="109" t="s">
        <v>0</v>
      </c>
      <c r="D1" s="107"/>
      <c r="E1" s="107"/>
    </row>
    <row r="2" spans="2:8" ht="18">
      <c r="C2" s="4" t="s">
        <v>1</v>
      </c>
      <c r="D2" s="2"/>
      <c r="E2" s="2"/>
      <c r="F2" s="3"/>
      <c r="G2" s="3"/>
      <c r="H2" s="3"/>
    </row>
    <row r="3" spans="2:8" ht="18">
      <c r="C3" s="4" t="s">
        <v>134</v>
      </c>
      <c r="D3" s="2"/>
      <c r="E3" s="2"/>
      <c r="F3" s="3"/>
      <c r="G3" s="3"/>
      <c r="H3" s="3"/>
    </row>
    <row r="4" spans="2:8" ht="18">
      <c r="B4" s="4"/>
      <c r="C4" s="4"/>
      <c r="D4" s="4"/>
      <c r="E4" s="2"/>
      <c r="F4" s="3"/>
      <c r="G4" s="3"/>
      <c r="H4" s="3"/>
    </row>
    <row r="5" spans="2:8">
      <c r="B5" s="104" t="s">
        <v>3</v>
      </c>
      <c r="C5" s="105">
        <v>80</v>
      </c>
      <c r="D5" s="7"/>
      <c r="E5" s="7"/>
    </row>
    <row r="6" spans="2:8">
      <c r="B6" s="8" t="s">
        <v>4</v>
      </c>
      <c r="C6" s="9">
        <v>99</v>
      </c>
      <c r="D6" s="7"/>
      <c r="E6" s="7"/>
    </row>
    <row r="7" spans="2:8">
      <c r="D7" s="7"/>
      <c r="E7" s="7"/>
    </row>
    <row r="8" spans="2:8" ht="15.75">
      <c r="B8" s="10" t="s">
        <v>5</v>
      </c>
      <c r="D8" s="7"/>
      <c r="E8" s="7"/>
    </row>
    <row r="9" spans="2:8">
      <c r="D9" s="7"/>
      <c r="E9" s="7"/>
    </row>
    <row r="10" spans="2:8" ht="13.5" thickBot="1">
      <c r="B10" s="11" t="s">
        <v>6</v>
      </c>
      <c r="C10" s="12" t="s">
        <v>7</v>
      </c>
      <c r="D10" s="7"/>
      <c r="E10" s="7"/>
    </row>
    <row r="11" spans="2:8" ht="13.5" thickTop="1">
      <c r="B11" s="13" t="s">
        <v>8</v>
      </c>
      <c r="C11" s="14">
        <v>8760</v>
      </c>
      <c r="D11" s="7"/>
      <c r="E11" s="7"/>
    </row>
    <row r="12" spans="2:8">
      <c r="B12" s="15" t="s">
        <v>9</v>
      </c>
      <c r="C12" s="14">
        <v>10</v>
      </c>
      <c r="D12" s="7"/>
      <c r="E12" s="7"/>
    </row>
    <row r="13" spans="2:8">
      <c r="B13" s="15" t="s">
        <v>10</v>
      </c>
      <c r="C13" s="16">
        <v>7</v>
      </c>
      <c r="D13" s="7"/>
      <c r="E13" s="7"/>
    </row>
    <row r="14" spans="2:8">
      <c r="B14" s="17" t="s">
        <v>11</v>
      </c>
      <c r="C14" s="18" t="str">
        <f>C3</f>
        <v>Reformer</v>
      </c>
      <c r="D14" s="7"/>
      <c r="E14" s="7"/>
    </row>
    <row r="15" spans="2:8">
      <c r="B15" s="17" t="s">
        <v>135</v>
      </c>
      <c r="C15" s="100">
        <v>543120</v>
      </c>
      <c r="D15" s="7"/>
      <c r="E15" s="7"/>
    </row>
    <row r="16" spans="2:8">
      <c r="B16" s="17" t="s">
        <v>13</v>
      </c>
      <c r="C16" s="101">
        <v>7.2789999999999999</v>
      </c>
      <c r="D16" s="7"/>
      <c r="E16" s="7"/>
    </row>
    <row r="17" spans="2:6">
      <c r="B17" s="17" t="s">
        <v>14</v>
      </c>
      <c r="C17" s="101">
        <f>C16*8760/2000</f>
        <v>31.882020000000001</v>
      </c>
      <c r="D17" s="7"/>
      <c r="E17" s="7"/>
    </row>
    <row r="18" spans="2:6">
      <c r="B18" s="17" t="s">
        <v>15</v>
      </c>
      <c r="C18" s="101">
        <v>57.506999999999998</v>
      </c>
      <c r="D18" s="7"/>
      <c r="E18" s="7"/>
    </row>
    <row r="19" spans="2:6">
      <c r="B19" s="17" t="s">
        <v>16</v>
      </c>
      <c r="C19" s="102">
        <f>C18*8760/2000</f>
        <v>251.88066000000001</v>
      </c>
      <c r="D19" s="7"/>
      <c r="E19" s="7"/>
    </row>
    <row r="20" spans="2:6">
      <c r="B20" s="17" t="s">
        <v>17</v>
      </c>
      <c r="C20" s="22">
        <f>0.093*1.0851</f>
        <v>0.1009143</v>
      </c>
      <c r="D20" s="23" t="s">
        <v>18</v>
      </c>
      <c r="E20" s="7"/>
    </row>
    <row r="21" spans="2:6">
      <c r="B21" s="17" t="s">
        <v>19</v>
      </c>
      <c r="C21" s="24">
        <f>45*1.0851</f>
        <v>48.829499999999996</v>
      </c>
      <c r="D21" s="23" t="s">
        <v>18</v>
      </c>
      <c r="E21" s="7"/>
    </row>
    <row r="22" spans="2:6">
      <c r="B22" s="25" t="s">
        <v>20</v>
      </c>
      <c r="C22" s="26">
        <f>45*1.0851</f>
        <v>48.829499999999996</v>
      </c>
      <c r="D22" s="23" t="s">
        <v>18</v>
      </c>
      <c r="E22" s="7"/>
    </row>
    <row r="23" spans="2:6">
      <c r="D23" s="7"/>
      <c r="E23" s="7"/>
    </row>
    <row r="24" spans="2:6" ht="15.75">
      <c r="B24" s="10" t="s">
        <v>21</v>
      </c>
      <c r="D24" s="7"/>
      <c r="E24" s="7"/>
    </row>
    <row r="25" spans="2:6">
      <c r="D25" s="7"/>
      <c r="E25" s="7"/>
    </row>
    <row r="26" spans="2:6" ht="13.5" thickBot="1">
      <c r="B26" s="11"/>
      <c r="C26" s="27" t="s">
        <v>7</v>
      </c>
      <c r="D26" s="28" t="s">
        <v>22</v>
      </c>
      <c r="E26" s="7"/>
    </row>
    <row r="27" spans="2:6" ht="13.5" thickTop="1">
      <c r="B27" s="29" t="s">
        <v>23</v>
      </c>
      <c r="C27" s="30"/>
      <c r="D27" s="31"/>
    </row>
    <row r="28" spans="2:6">
      <c r="B28" s="17" t="s">
        <v>24</v>
      </c>
      <c r="C28" s="30"/>
      <c r="D28" s="31"/>
      <c r="E28" s="7"/>
    </row>
    <row r="29" spans="2:6">
      <c r="B29" s="17" t="s">
        <v>25</v>
      </c>
      <c r="C29" s="32">
        <f>1443*(C15^0.5527)*(9437/6059)*1.0851</f>
        <v>3604508.0800013156</v>
      </c>
      <c r="D29" s="31" t="s">
        <v>26</v>
      </c>
      <c r="E29" s="23" t="s">
        <v>27</v>
      </c>
      <c r="F29" s="33"/>
    </row>
    <row r="30" spans="2:6">
      <c r="B30" s="17" t="s">
        <v>28</v>
      </c>
      <c r="C30" s="34">
        <f>ROUND(0.1*$C$29,-2)</f>
        <v>360500</v>
      </c>
      <c r="D30" s="31" t="s">
        <v>29</v>
      </c>
      <c r="E30" s="111"/>
    </row>
    <row r="31" spans="2:6">
      <c r="B31" s="17" t="s">
        <v>30</v>
      </c>
      <c r="C31" s="34">
        <f>ROUND(0.07*$C$29,-2)</f>
        <v>252300</v>
      </c>
      <c r="D31" s="31" t="s">
        <v>31</v>
      </c>
      <c r="E31" s="7"/>
    </row>
    <row r="32" spans="2:6">
      <c r="B32" s="17" t="s">
        <v>32</v>
      </c>
      <c r="C32" s="35">
        <f>ROUND(0.05*$C$29,-2)</f>
        <v>180200</v>
      </c>
      <c r="D32" s="36" t="s">
        <v>33</v>
      </c>
      <c r="E32" s="7"/>
    </row>
    <row r="33" spans="2:7">
      <c r="B33" s="17" t="s">
        <v>34</v>
      </c>
      <c r="C33" s="34">
        <f>SUM(C29:C32)</f>
        <v>4397508.0800013151</v>
      </c>
      <c r="D33" s="31" t="s">
        <v>35</v>
      </c>
      <c r="E33" s="7"/>
    </row>
    <row r="34" spans="2:7">
      <c r="B34" s="17" t="s">
        <v>36</v>
      </c>
      <c r="C34" s="37"/>
      <c r="D34" s="31"/>
      <c r="E34" s="7"/>
    </row>
    <row r="35" spans="2:7">
      <c r="B35" s="17" t="s">
        <v>37</v>
      </c>
      <c r="C35" s="34">
        <f>ROUND(0.08*$C$33,-2)</f>
        <v>351800</v>
      </c>
      <c r="D35" s="31" t="s">
        <v>38</v>
      </c>
      <c r="E35" s="7"/>
    </row>
    <row r="36" spans="2:7">
      <c r="B36" s="17" t="s">
        <v>39</v>
      </c>
      <c r="C36" s="34">
        <f>ROUND(0.14*$C$33,-2)</f>
        <v>615700</v>
      </c>
      <c r="D36" s="31" t="s">
        <v>40</v>
      </c>
      <c r="E36" s="7"/>
    </row>
    <row r="37" spans="2:7">
      <c r="B37" s="17" t="s">
        <v>41</v>
      </c>
      <c r="C37" s="34">
        <f>ROUND(0.04*$C$33,-2)</f>
        <v>175900</v>
      </c>
      <c r="D37" s="31" t="s">
        <v>42</v>
      </c>
      <c r="E37" s="7"/>
    </row>
    <row r="38" spans="2:7">
      <c r="B38" s="17" t="s">
        <v>43</v>
      </c>
      <c r="C38" s="34">
        <f>ROUND(0.02*$C$33,-2)+40000</f>
        <v>128000</v>
      </c>
      <c r="D38" s="31" t="s">
        <v>44</v>
      </c>
      <c r="E38" s="7"/>
    </row>
    <row r="39" spans="2:7">
      <c r="B39" s="17" t="s">
        <v>45</v>
      </c>
      <c r="C39" s="34">
        <f>ROUND(0.01*$C$33,-2)</f>
        <v>44000</v>
      </c>
      <c r="D39" s="31" t="s">
        <v>46</v>
      </c>
      <c r="E39" s="7"/>
    </row>
    <row r="40" spans="2:7">
      <c r="B40" s="17" t="s">
        <v>47</v>
      </c>
      <c r="C40" s="35">
        <f>ROUND(0.01*$C$33,-2)</f>
        <v>44000</v>
      </c>
      <c r="D40" s="36" t="s">
        <v>46</v>
      </c>
      <c r="E40" s="7"/>
    </row>
    <row r="41" spans="2:7">
      <c r="B41" s="17" t="s">
        <v>48</v>
      </c>
      <c r="C41" s="34">
        <f>SUM(C35:C40)</f>
        <v>1359400</v>
      </c>
      <c r="D41" s="31" t="s">
        <v>49</v>
      </c>
      <c r="E41" s="7"/>
    </row>
    <row r="42" spans="2:7">
      <c r="B42" s="17" t="s">
        <v>50</v>
      </c>
      <c r="C42" s="38" t="s">
        <v>51</v>
      </c>
      <c r="D42" s="31" t="s">
        <v>52</v>
      </c>
      <c r="E42" s="7"/>
      <c r="G42" s="39"/>
    </row>
    <row r="43" spans="2:7">
      <c r="B43" s="17" t="s">
        <v>53</v>
      </c>
      <c r="C43" s="40" t="s">
        <v>51</v>
      </c>
      <c r="D43" s="36" t="s">
        <v>54</v>
      </c>
      <c r="E43" s="7"/>
    </row>
    <row r="44" spans="2:7">
      <c r="B44" s="29" t="s">
        <v>55</v>
      </c>
      <c r="C44" s="34">
        <f>ROUND(C33+C41,-2)</f>
        <v>5756900</v>
      </c>
      <c r="D44" s="31" t="s">
        <v>56</v>
      </c>
      <c r="E44" s="7"/>
    </row>
    <row r="45" spans="2:7">
      <c r="B45" s="29" t="s">
        <v>57</v>
      </c>
      <c r="C45" s="34"/>
      <c r="D45" s="31"/>
      <c r="E45" s="7"/>
    </row>
    <row r="46" spans="2:7">
      <c r="B46" s="17" t="s">
        <v>58</v>
      </c>
      <c r="C46" s="34">
        <f>ROUND(0.1*$C$33,-2)</f>
        <v>439800</v>
      </c>
      <c r="D46" s="31" t="s">
        <v>59</v>
      </c>
      <c r="E46" s="7"/>
    </row>
    <row r="47" spans="2:7">
      <c r="B47" s="17" t="s">
        <v>60</v>
      </c>
      <c r="C47" s="34">
        <f>ROUND(0.05*$C$33,-2)</f>
        <v>219900</v>
      </c>
      <c r="D47" s="31" t="s">
        <v>61</v>
      </c>
      <c r="E47" s="7"/>
    </row>
    <row r="48" spans="2:7">
      <c r="B48" s="17" t="s">
        <v>62</v>
      </c>
      <c r="C48" s="34">
        <f>ROUND(0.1*$C$33,-2)</f>
        <v>439800</v>
      </c>
      <c r="D48" s="31" t="s">
        <v>59</v>
      </c>
      <c r="E48" s="7"/>
    </row>
    <row r="49" spans="2:5">
      <c r="B49" s="17" t="s">
        <v>63</v>
      </c>
      <c r="C49" s="34">
        <f>ROUND(0.02*$C$33,-2)</f>
        <v>88000</v>
      </c>
      <c r="D49" s="31" t="s">
        <v>64</v>
      </c>
      <c r="E49" s="7"/>
    </row>
    <row r="50" spans="2:5">
      <c r="B50" s="17" t="s">
        <v>65</v>
      </c>
      <c r="C50" s="34">
        <f>ROUND(0.01*$C$33,-2)</f>
        <v>44000</v>
      </c>
      <c r="D50" s="31" t="s">
        <v>46</v>
      </c>
      <c r="E50" s="7"/>
    </row>
    <row r="51" spans="2:5">
      <c r="B51" s="17" t="s">
        <v>66</v>
      </c>
      <c r="C51" s="41">
        <f>ROUND(0.03*$C$33,-2)</f>
        <v>131900</v>
      </c>
      <c r="D51" s="31" t="s">
        <v>67</v>
      </c>
      <c r="E51" s="7"/>
    </row>
    <row r="52" spans="2:5" ht="13.5" thickBot="1">
      <c r="B52" s="42" t="s">
        <v>68</v>
      </c>
      <c r="C52" s="43">
        <f>SUM(C46:C51)</f>
        <v>1363400</v>
      </c>
      <c r="D52" s="44" t="s">
        <v>69</v>
      </c>
      <c r="E52" s="7"/>
    </row>
    <row r="53" spans="2:5" ht="13.5" thickTop="1">
      <c r="B53" s="45" t="s">
        <v>70</v>
      </c>
      <c r="C53" s="46">
        <f>ROUND(C44+C52,-2)</f>
        <v>7120300</v>
      </c>
      <c r="D53" s="47" t="s">
        <v>71</v>
      </c>
      <c r="E53" s="7"/>
    </row>
    <row r="54" spans="2:5">
      <c r="B54" s="48"/>
      <c r="D54" s="7"/>
      <c r="E54" s="7"/>
    </row>
    <row r="55" spans="2:5">
      <c r="B55" s="48"/>
      <c r="D55" s="7"/>
      <c r="E55" s="7"/>
    </row>
    <row r="56" spans="2:5" ht="15.75">
      <c r="B56" s="10" t="s">
        <v>72</v>
      </c>
      <c r="D56" s="7"/>
      <c r="E56" s="7"/>
    </row>
    <row r="57" spans="2:5">
      <c r="D57" s="7"/>
      <c r="E57" s="7"/>
    </row>
    <row r="58" spans="2:5">
      <c r="B58" s="49" t="s">
        <v>6</v>
      </c>
      <c r="C58" s="49" t="s">
        <v>7</v>
      </c>
      <c r="D58" s="49" t="s">
        <v>22</v>
      </c>
      <c r="E58" s="49" t="s">
        <v>73</v>
      </c>
    </row>
    <row r="59" spans="2:5">
      <c r="B59" s="50" t="s">
        <v>74</v>
      </c>
      <c r="C59" s="51"/>
      <c r="D59" s="52"/>
      <c r="E59" s="52"/>
    </row>
    <row r="60" spans="2:5">
      <c r="B60" s="53" t="s">
        <v>75</v>
      </c>
      <c r="C60" s="54">
        <v>0.5</v>
      </c>
      <c r="D60" s="55" t="s">
        <v>76</v>
      </c>
      <c r="E60" s="56" t="s">
        <v>77</v>
      </c>
    </row>
    <row r="61" spans="2:5">
      <c r="B61" s="53" t="s">
        <v>78</v>
      </c>
      <c r="C61" s="57">
        <f>C21</f>
        <v>48.829499999999996</v>
      </c>
      <c r="D61" s="56" t="s">
        <v>79</v>
      </c>
      <c r="E61" s="56" t="s">
        <v>77</v>
      </c>
    </row>
    <row r="62" spans="2:5">
      <c r="B62" s="58" t="s">
        <v>80</v>
      </c>
      <c r="C62" s="59">
        <f>ROUND(C60*(C11/8)*C61,-1)</f>
        <v>26730</v>
      </c>
      <c r="D62" s="60" t="s">
        <v>81</v>
      </c>
      <c r="E62" s="60" t="s">
        <v>77</v>
      </c>
    </row>
    <row r="63" spans="2:5">
      <c r="B63" s="50" t="s">
        <v>82</v>
      </c>
      <c r="C63" s="51"/>
      <c r="D63" s="52"/>
      <c r="E63" s="52"/>
    </row>
    <row r="64" spans="2:5">
      <c r="B64" s="58" t="s">
        <v>83</v>
      </c>
      <c r="C64" s="61">
        <f>ROUND(0.15*C62,-1)</f>
        <v>4010</v>
      </c>
      <c r="D64" s="60" t="s">
        <v>84</v>
      </c>
      <c r="E64" s="60" t="s">
        <v>85</v>
      </c>
    </row>
    <row r="65" spans="2:9">
      <c r="B65" s="50" t="s">
        <v>86</v>
      </c>
      <c r="C65" s="51"/>
      <c r="D65" s="52"/>
      <c r="E65" s="52"/>
    </row>
    <row r="66" spans="2:9">
      <c r="B66" s="53" t="s">
        <v>87</v>
      </c>
      <c r="C66" s="62">
        <f>0.5*$C$11/24</f>
        <v>182.5</v>
      </c>
      <c r="D66" s="55" t="s">
        <v>88</v>
      </c>
      <c r="E66" s="56" t="s">
        <v>79</v>
      </c>
    </row>
    <row r="67" spans="2:9">
      <c r="B67" s="53" t="s">
        <v>78</v>
      </c>
      <c r="C67" s="57">
        <f>C22</f>
        <v>48.829499999999996</v>
      </c>
      <c r="D67" s="56" t="s">
        <v>79</v>
      </c>
      <c r="E67" s="56" t="s">
        <v>77</v>
      </c>
    </row>
    <row r="68" spans="2:9">
      <c r="B68" s="53" t="s">
        <v>80</v>
      </c>
      <c r="C68" s="63">
        <f>ROUND((C66)*C67,-1)</f>
        <v>8910</v>
      </c>
      <c r="D68" s="56" t="s">
        <v>81</v>
      </c>
      <c r="E68" s="56" t="s">
        <v>77</v>
      </c>
    </row>
    <row r="69" spans="2:9">
      <c r="B69" s="53" t="s">
        <v>89</v>
      </c>
      <c r="C69" s="63">
        <f>ROUND(+C68,-1)</f>
        <v>8910</v>
      </c>
      <c r="D69" s="56" t="s">
        <v>90</v>
      </c>
      <c r="E69" s="56" t="s">
        <v>85</v>
      </c>
    </row>
    <row r="70" spans="2:9">
      <c r="B70" s="58" t="s">
        <v>91</v>
      </c>
      <c r="C70" s="61">
        <f>ROUND(+C69+C68,-1)</f>
        <v>17820</v>
      </c>
      <c r="D70" s="60" t="s">
        <v>81</v>
      </c>
      <c r="E70" s="60" t="s">
        <v>77</v>
      </c>
    </row>
    <row r="71" spans="2:9">
      <c r="B71" s="50" t="s">
        <v>92</v>
      </c>
      <c r="C71" s="51"/>
      <c r="D71" s="52"/>
      <c r="E71" s="52"/>
      <c r="G71" s="64"/>
      <c r="H71" s="65"/>
      <c r="I71" s="64"/>
    </row>
    <row r="72" spans="2:9">
      <c r="B72" s="53" t="s">
        <v>93</v>
      </c>
      <c r="C72" s="66">
        <f>ROUND(0.6*(C62+C64+C70),-1)</f>
        <v>29140</v>
      </c>
      <c r="D72" s="56" t="s">
        <v>94</v>
      </c>
      <c r="E72" s="56" t="s">
        <v>85</v>
      </c>
      <c r="G72" s="64"/>
      <c r="H72" s="65"/>
      <c r="I72" s="64"/>
    </row>
    <row r="73" spans="2:9">
      <c r="B73" s="53" t="s">
        <v>95</v>
      </c>
      <c r="C73" s="63">
        <f>ROUND(0.02*C53,-1)</f>
        <v>142410</v>
      </c>
      <c r="D73" s="56" t="s">
        <v>96</v>
      </c>
      <c r="E73" s="56" t="s">
        <v>85</v>
      </c>
      <c r="G73" s="64"/>
      <c r="H73" s="65"/>
      <c r="I73" s="64"/>
    </row>
    <row r="74" spans="2:9">
      <c r="B74" s="53" t="s">
        <v>97</v>
      </c>
      <c r="C74" s="63">
        <f>ROUND(0.01*C53,-1)</f>
        <v>71200</v>
      </c>
      <c r="D74" s="56" t="s">
        <v>98</v>
      </c>
      <c r="E74" s="56" t="s">
        <v>85</v>
      </c>
      <c r="G74" s="64"/>
      <c r="H74" s="65"/>
      <c r="I74" s="64"/>
    </row>
    <row r="75" spans="2:9">
      <c r="B75" s="53" t="s">
        <v>99</v>
      </c>
      <c r="C75" s="63">
        <f>ROUND(0.01*C53,-1)</f>
        <v>71200</v>
      </c>
      <c r="D75" s="56" t="s">
        <v>98</v>
      </c>
      <c r="E75" s="56" t="s">
        <v>85</v>
      </c>
      <c r="G75" s="64"/>
      <c r="H75" s="64"/>
      <c r="I75" s="64"/>
    </row>
    <row r="76" spans="2:9">
      <c r="B76" s="53" t="s">
        <v>100</v>
      </c>
      <c r="C76" s="66">
        <f>ROUND((C13/100*(1+C13/100)^C12)/((1+C13/100)^C12-1)*(C53),-1)</f>
        <v>1013770</v>
      </c>
      <c r="D76" s="55" t="s">
        <v>101</v>
      </c>
      <c r="E76" s="56" t="s">
        <v>85</v>
      </c>
      <c r="G76" s="64"/>
      <c r="H76" s="64"/>
      <c r="I76" s="64"/>
    </row>
    <row r="77" spans="2:9" ht="13.5" thickBot="1">
      <c r="B77" s="67" t="s">
        <v>102</v>
      </c>
      <c r="C77" s="68">
        <f>SUM(C72:C76)</f>
        <v>1327720</v>
      </c>
      <c r="D77" s="69" t="s">
        <v>81</v>
      </c>
      <c r="E77" s="69" t="s">
        <v>77</v>
      </c>
      <c r="G77" s="64"/>
    </row>
    <row r="78" spans="2:9" ht="13.5" thickTop="1">
      <c r="B78" s="50" t="s">
        <v>103</v>
      </c>
      <c r="C78" s="51"/>
      <c r="D78" s="52"/>
      <c r="E78" s="52"/>
    </row>
    <row r="79" spans="2:9">
      <c r="B79" s="53" t="s">
        <v>104</v>
      </c>
      <c r="C79" s="70">
        <f>7.682*C81/1000000</f>
        <v>7.8356399999999996E-3</v>
      </c>
      <c r="D79" s="103">
        <v>7.6820000000000004</v>
      </c>
      <c r="E79" s="72"/>
      <c r="F79" s="110" t="s">
        <v>105</v>
      </c>
    </row>
    <row r="80" spans="2:9">
      <c r="B80" s="53" t="s">
        <v>106</v>
      </c>
      <c r="C80" s="73">
        <f>'Fuel Usage'!J11</f>
        <v>7038835.1999999993</v>
      </c>
      <c r="D80" s="55"/>
      <c r="E80" s="56"/>
      <c r="F80" s="110"/>
    </row>
    <row r="81" spans="1:256">
      <c r="B81" s="53" t="s">
        <v>107</v>
      </c>
      <c r="C81" s="73">
        <v>1020</v>
      </c>
      <c r="D81" s="55"/>
      <c r="E81" s="56"/>
    </row>
    <row r="82" spans="1:256">
      <c r="B82" s="53" t="s">
        <v>108</v>
      </c>
      <c r="C82" s="73">
        <f>C80/C81</f>
        <v>6900.818823529411</v>
      </c>
      <c r="D82" s="55"/>
      <c r="E82" s="56"/>
    </row>
    <row r="83" spans="1:256">
      <c r="B83" s="53" t="s">
        <v>109</v>
      </c>
      <c r="C83" s="112">
        <f>C79*C82*8760</f>
        <v>473673.62837606389</v>
      </c>
      <c r="D83" s="55"/>
      <c r="E83" s="56"/>
    </row>
    <row r="84" spans="1:256">
      <c r="B84" s="53" t="s">
        <v>110</v>
      </c>
      <c r="C84" s="63">
        <f>0.000117*C15*23/0.6*C11*C20</f>
        <v>2153352.1646581776</v>
      </c>
      <c r="D84" s="56"/>
      <c r="E84" s="56" t="s">
        <v>85</v>
      </c>
    </row>
    <row r="85" spans="1:256">
      <c r="B85" s="58" t="s">
        <v>111</v>
      </c>
      <c r="C85" s="61">
        <f>ROUND(C83+C84,-1)</f>
        <v>2627030</v>
      </c>
      <c r="D85" s="60"/>
      <c r="E85" s="60"/>
    </row>
    <row r="86" spans="1:256" s="77" customFormat="1">
      <c r="A86" s="74"/>
      <c r="B86" s="50" t="s">
        <v>112</v>
      </c>
      <c r="C86" s="51"/>
      <c r="D86" s="52"/>
      <c r="E86" s="52"/>
      <c r="F86" s="75"/>
      <c r="G86" s="76"/>
      <c r="H86" s="76"/>
      <c r="I86" s="74"/>
      <c r="J86" s="75"/>
      <c r="K86" s="76"/>
      <c r="L86" s="76"/>
      <c r="M86" s="74"/>
      <c r="N86" s="75"/>
      <c r="O86" s="76"/>
      <c r="P86" s="76"/>
      <c r="Q86" s="74"/>
      <c r="R86" s="75"/>
      <c r="S86" s="76"/>
      <c r="T86" s="76"/>
      <c r="U86" s="74"/>
      <c r="V86" s="75"/>
      <c r="W86" s="76"/>
      <c r="X86" s="76"/>
      <c r="Y86" s="74"/>
      <c r="Z86" s="75"/>
      <c r="AA86" s="76"/>
      <c r="AB86" s="76"/>
      <c r="AC86" s="74"/>
      <c r="AD86" s="75"/>
      <c r="AE86" s="76"/>
      <c r="AF86" s="76"/>
      <c r="AG86" s="74"/>
      <c r="AH86" s="75"/>
      <c r="AI86" s="76"/>
      <c r="AJ86" s="76"/>
      <c r="AK86" s="74"/>
      <c r="AL86" s="75"/>
      <c r="AM86" s="76"/>
      <c r="AN86" s="76"/>
      <c r="AO86" s="74"/>
      <c r="AP86" s="75"/>
      <c r="AQ86" s="76"/>
      <c r="AR86" s="76"/>
      <c r="AS86" s="74"/>
      <c r="AT86" s="75"/>
      <c r="AU86" s="76"/>
      <c r="AV86" s="76"/>
      <c r="AW86" s="74"/>
      <c r="AX86" s="75"/>
      <c r="AY86" s="76"/>
      <c r="AZ86" s="76"/>
      <c r="BA86" s="74"/>
      <c r="BB86" s="75"/>
      <c r="BC86" s="76"/>
      <c r="BD86" s="76"/>
      <c r="BE86" s="74"/>
      <c r="BF86" s="75"/>
      <c r="BG86" s="76"/>
      <c r="BH86" s="76"/>
      <c r="BI86" s="74"/>
      <c r="BJ86" s="75"/>
      <c r="BK86" s="76"/>
      <c r="BL86" s="76"/>
      <c r="BM86" s="74"/>
      <c r="BN86" s="75"/>
      <c r="BO86" s="76"/>
      <c r="BP86" s="76"/>
      <c r="BQ86" s="74"/>
      <c r="BR86" s="75"/>
      <c r="BS86" s="76"/>
      <c r="BT86" s="76"/>
      <c r="BU86" s="74"/>
      <c r="BV86" s="75"/>
      <c r="BW86" s="76"/>
      <c r="BX86" s="76"/>
      <c r="BY86" s="74"/>
      <c r="BZ86" s="75"/>
      <c r="CA86" s="76"/>
      <c r="CB86" s="76"/>
      <c r="CC86" s="74"/>
      <c r="CD86" s="75"/>
      <c r="CE86" s="76"/>
      <c r="CF86" s="76"/>
      <c r="CG86" s="74"/>
      <c r="CH86" s="75"/>
      <c r="CI86" s="76"/>
      <c r="CJ86" s="76"/>
      <c r="CK86" s="74"/>
      <c r="CL86" s="75"/>
      <c r="CM86" s="76"/>
      <c r="CN86" s="76"/>
      <c r="CO86" s="74"/>
      <c r="CP86" s="75"/>
      <c r="CQ86" s="76"/>
      <c r="CR86" s="76"/>
      <c r="CS86" s="74"/>
      <c r="CT86" s="75"/>
      <c r="CU86" s="76"/>
      <c r="CV86" s="76"/>
      <c r="CW86" s="74"/>
      <c r="CX86" s="75"/>
      <c r="CY86" s="76"/>
      <c r="CZ86" s="76"/>
      <c r="DA86" s="74"/>
      <c r="DB86" s="75"/>
      <c r="DC86" s="76"/>
      <c r="DD86" s="76"/>
      <c r="DE86" s="74"/>
      <c r="DF86" s="75"/>
      <c r="DG86" s="76"/>
      <c r="DH86" s="76"/>
      <c r="DI86" s="74"/>
      <c r="DJ86" s="75"/>
      <c r="DK86" s="76"/>
      <c r="DL86" s="76"/>
      <c r="DM86" s="74"/>
      <c r="DN86" s="75"/>
      <c r="DO86" s="76"/>
      <c r="DP86" s="76"/>
      <c r="DQ86" s="74"/>
      <c r="DR86" s="75"/>
      <c r="DS86" s="76"/>
      <c r="DT86" s="76"/>
      <c r="DU86" s="74"/>
      <c r="DV86" s="75"/>
      <c r="DW86" s="76"/>
      <c r="DX86" s="76"/>
      <c r="DY86" s="74"/>
      <c r="DZ86" s="75"/>
      <c r="EA86" s="76"/>
      <c r="EB86" s="76"/>
      <c r="EC86" s="74"/>
      <c r="ED86" s="75"/>
      <c r="EE86" s="76"/>
      <c r="EF86" s="76"/>
      <c r="EG86" s="74"/>
      <c r="EH86" s="75"/>
      <c r="EI86" s="76"/>
      <c r="EJ86" s="76"/>
      <c r="EK86" s="74"/>
      <c r="EL86" s="75"/>
      <c r="EM86" s="76"/>
      <c r="EN86" s="76"/>
      <c r="EO86" s="74"/>
      <c r="EP86" s="75"/>
      <c r="EQ86" s="76"/>
      <c r="ER86" s="76"/>
      <c r="ES86" s="74"/>
      <c r="ET86" s="75"/>
      <c r="EU86" s="76"/>
      <c r="EV86" s="76"/>
      <c r="EW86" s="74"/>
      <c r="EX86" s="75"/>
      <c r="EY86" s="76"/>
      <c r="EZ86" s="76"/>
      <c r="FA86" s="74"/>
      <c r="FB86" s="75"/>
      <c r="FC86" s="76"/>
      <c r="FD86" s="76"/>
      <c r="FE86" s="74"/>
      <c r="FF86" s="75"/>
      <c r="FG86" s="76"/>
      <c r="FH86" s="76"/>
      <c r="FI86" s="74"/>
      <c r="FJ86" s="75"/>
      <c r="FK86" s="76"/>
      <c r="FL86" s="76"/>
      <c r="FM86" s="74"/>
      <c r="FN86" s="75"/>
      <c r="FO86" s="76"/>
      <c r="FP86" s="76"/>
      <c r="FQ86" s="74"/>
      <c r="FR86" s="75"/>
      <c r="FS86" s="76"/>
      <c r="FT86" s="76"/>
      <c r="FU86" s="74"/>
      <c r="FV86" s="75"/>
      <c r="FW86" s="76"/>
      <c r="FX86" s="76"/>
      <c r="FY86" s="74"/>
      <c r="FZ86" s="75"/>
      <c r="GA86" s="76"/>
      <c r="GB86" s="76"/>
      <c r="GC86" s="74"/>
      <c r="GD86" s="75"/>
      <c r="GE86" s="76"/>
      <c r="GF86" s="76"/>
      <c r="GG86" s="74"/>
      <c r="GH86" s="75"/>
      <c r="GI86" s="76"/>
      <c r="GJ86" s="76"/>
      <c r="GK86" s="74"/>
      <c r="GL86" s="75"/>
      <c r="GM86" s="76"/>
      <c r="GN86" s="76"/>
      <c r="GO86" s="74"/>
      <c r="GP86" s="75"/>
      <c r="GQ86" s="76"/>
      <c r="GR86" s="76"/>
      <c r="GS86" s="74"/>
      <c r="GT86" s="75"/>
      <c r="GU86" s="76"/>
      <c r="GV86" s="76"/>
      <c r="GW86" s="74"/>
      <c r="GX86" s="75"/>
      <c r="GY86" s="76"/>
      <c r="GZ86" s="76"/>
      <c r="HA86" s="74"/>
      <c r="HB86" s="75"/>
      <c r="HC86" s="76"/>
      <c r="HD86" s="76"/>
      <c r="HE86" s="74"/>
      <c r="HF86" s="75"/>
      <c r="HG86" s="76"/>
      <c r="HH86" s="76"/>
      <c r="HI86" s="74"/>
      <c r="HJ86" s="75"/>
      <c r="HK86" s="76"/>
      <c r="HL86" s="76"/>
      <c r="HM86" s="74"/>
      <c r="HN86" s="75"/>
      <c r="HO86" s="76"/>
      <c r="HP86" s="76"/>
      <c r="HQ86" s="74"/>
      <c r="HR86" s="75"/>
      <c r="HS86" s="76"/>
      <c r="HT86" s="76"/>
      <c r="HU86" s="74"/>
      <c r="HV86" s="75"/>
      <c r="HW86" s="76"/>
      <c r="HX86" s="76"/>
      <c r="HY86" s="74"/>
      <c r="HZ86" s="75"/>
      <c r="IA86" s="76"/>
      <c r="IB86" s="76"/>
      <c r="IC86" s="74"/>
      <c r="ID86" s="75"/>
      <c r="IE86" s="76"/>
      <c r="IF86" s="76"/>
      <c r="IG86" s="74"/>
      <c r="IH86" s="75"/>
      <c r="II86" s="76"/>
      <c r="IJ86" s="76"/>
      <c r="IK86" s="74"/>
      <c r="IL86" s="75"/>
      <c r="IM86" s="76"/>
      <c r="IN86" s="76"/>
      <c r="IO86" s="74"/>
      <c r="IP86" s="75"/>
      <c r="IQ86" s="76"/>
      <c r="IR86" s="76"/>
      <c r="IS86" s="74"/>
      <c r="IT86" s="75"/>
      <c r="IU86" s="76"/>
      <c r="IV86" s="76"/>
    </row>
    <row r="87" spans="1:256" s="77" customFormat="1">
      <c r="A87" s="74"/>
      <c r="B87" s="78" t="s">
        <v>113</v>
      </c>
      <c r="C87" s="79">
        <f>C15/5000</f>
        <v>108.624</v>
      </c>
      <c r="D87" s="56"/>
      <c r="E87" s="56" t="s">
        <v>85</v>
      </c>
      <c r="F87" s="75"/>
      <c r="G87" s="76"/>
      <c r="H87" s="76"/>
      <c r="I87" s="74"/>
      <c r="J87" s="75"/>
      <c r="K87" s="76"/>
      <c r="L87" s="76"/>
      <c r="M87" s="74"/>
      <c r="N87" s="75"/>
      <c r="O87" s="76"/>
      <c r="P87" s="76"/>
      <c r="Q87" s="74"/>
      <c r="R87" s="75"/>
      <c r="S87" s="76"/>
      <c r="T87" s="76"/>
      <c r="U87" s="74"/>
      <c r="V87" s="75"/>
      <c r="W87" s="76"/>
      <c r="X87" s="76"/>
      <c r="Y87" s="74"/>
      <c r="Z87" s="75"/>
      <c r="AA87" s="76"/>
      <c r="AB87" s="76"/>
      <c r="AC87" s="74"/>
      <c r="AD87" s="75"/>
      <c r="AE87" s="76"/>
      <c r="AF87" s="76"/>
      <c r="AG87" s="74"/>
      <c r="AH87" s="75"/>
      <c r="AI87" s="76"/>
      <c r="AJ87" s="76"/>
      <c r="AK87" s="74"/>
      <c r="AL87" s="75"/>
      <c r="AM87" s="76"/>
      <c r="AN87" s="76"/>
      <c r="AO87" s="74"/>
      <c r="AP87" s="75"/>
      <c r="AQ87" s="76"/>
      <c r="AR87" s="76"/>
      <c r="AS87" s="74"/>
      <c r="AT87" s="75"/>
      <c r="AU87" s="76"/>
      <c r="AV87" s="76"/>
      <c r="AW87" s="74"/>
      <c r="AX87" s="75"/>
      <c r="AY87" s="76"/>
      <c r="AZ87" s="76"/>
      <c r="BA87" s="74"/>
      <c r="BB87" s="75"/>
      <c r="BC87" s="76"/>
      <c r="BD87" s="76"/>
      <c r="BE87" s="74"/>
      <c r="BF87" s="75"/>
      <c r="BG87" s="76"/>
      <c r="BH87" s="76"/>
      <c r="BI87" s="74"/>
      <c r="BJ87" s="75"/>
      <c r="BK87" s="76"/>
      <c r="BL87" s="76"/>
      <c r="BM87" s="74"/>
      <c r="BN87" s="75"/>
      <c r="BO87" s="76"/>
      <c r="BP87" s="76"/>
      <c r="BQ87" s="74"/>
      <c r="BR87" s="75"/>
      <c r="BS87" s="76"/>
      <c r="BT87" s="76"/>
      <c r="BU87" s="74"/>
      <c r="BV87" s="75"/>
      <c r="BW87" s="76"/>
      <c r="BX87" s="76"/>
      <c r="BY87" s="74"/>
      <c r="BZ87" s="75"/>
      <c r="CA87" s="76"/>
      <c r="CB87" s="76"/>
      <c r="CC87" s="74"/>
      <c r="CD87" s="75"/>
      <c r="CE87" s="76"/>
      <c r="CF87" s="76"/>
      <c r="CG87" s="74"/>
      <c r="CH87" s="75"/>
      <c r="CI87" s="76"/>
      <c r="CJ87" s="76"/>
      <c r="CK87" s="74"/>
      <c r="CL87" s="75"/>
      <c r="CM87" s="76"/>
      <c r="CN87" s="76"/>
      <c r="CO87" s="74"/>
      <c r="CP87" s="75"/>
      <c r="CQ87" s="76"/>
      <c r="CR87" s="76"/>
      <c r="CS87" s="74"/>
      <c r="CT87" s="75"/>
      <c r="CU87" s="76"/>
      <c r="CV87" s="76"/>
      <c r="CW87" s="74"/>
      <c r="CX87" s="75"/>
      <c r="CY87" s="76"/>
      <c r="CZ87" s="76"/>
      <c r="DA87" s="74"/>
      <c r="DB87" s="75"/>
      <c r="DC87" s="76"/>
      <c r="DD87" s="76"/>
      <c r="DE87" s="74"/>
      <c r="DF87" s="75"/>
      <c r="DG87" s="76"/>
      <c r="DH87" s="76"/>
      <c r="DI87" s="74"/>
      <c r="DJ87" s="75"/>
      <c r="DK87" s="76"/>
      <c r="DL87" s="76"/>
      <c r="DM87" s="74"/>
      <c r="DN87" s="75"/>
      <c r="DO87" s="76"/>
      <c r="DP87" s="76"/>
      <c r="DQ87" s="74"/>
      <c r="DR87" s="75"/>
      <c r="DS87" s="76"/>
      <c r="DT87" s="76"/>
      <c r="DU87" s="74"/>
      <c r="DV87" s="75"/>
      <c r="DW87" s="76"/>
      <c r="DX87" s="76"/>
      <c r="DY87" s="74"/>
      <c r="DZ87" s="75"/>
      <c r="EA87" s="76"/>
      <c r="EB87" s="76"/>
      <c r="EC87" s="74"/>
      <c r="ED87" s="75"/>
      <c r="EE87" s="76"/>
      <c r="EF87" s="76"/>
      <c r="EG87" s="74"/>
      <c r="EH87" s="75"/>
      <c r="EI87" s="76"/>
      <c r="EJ87" s="76"/>
      <c r="EK87" s="74"/>
      <c r="EL87" s="75"/>
      <c r="EM87" s="76"/>
      <c r="EN87" s="76"/>
      <c r="EO87" s="74"/>
      <c r="EP87" s="75"/>
      <c r="EQ87" s="76"/>
      <c r="ER87" s="76"/>
      <c r="ES87" s="74"/>
      <c r="ET87" s="75"/>
      <c r="EU87" s="76"/>
      <c r="EV87" s="76"/>
      <c r="EW87" s="74"/>
      <c r="EX87" s="75"/>
      <c r="EY87" s="76"/>
      <c r="EZ87" s="76"/>
      <c r="FA87" s="74"/>
      <c r="FB87" s="75"/>
      <c r="FC87" s="76"/>
      <c r="FD87" s="76"/>
      <c r="FE87" s="74"/>
      <c r="FF87" s="75"/>
      <c r="FG87" s="76"/>
      <c r="FH87" s="76"/>
      <c r="FI87" s="74"/>
      <c r="FJ87" s="75"/>
      <c r="FK87" s="76"/>
      <c r="FL87" s="76"/>
      <c r="FM87" s="74"/>
      <c r="FN87" s="75"/>
      <c r="FO87" s="76"/>
      <c r="FP87" s="76"/>
      <c r="FQ87" s="74"/>
      <c r="FR87" s="75"/>
      <c r="FS87" s="76"/>
      <c r="FT87" s="76"/>
      <c r="FU87" s="74"/>
      <c r="FV87" s="75"/>
      <c r="FW87" s="76"/>
      <c r="FX87" s="76"/>
      <c r="FY87" s="74"/>
      <c r="FZ87" s="75"/>
      <c r="GA87" s="76"/>
      <c r="GB87" s="76"/>
      <c r="GC87" s="74"/>
      <c r="GD87" s="75"/>
      <c r="GE87" s="76"/>
      <c r="GF87" s="76"/>
      <c r="GG87" s="74"/>
      <c r="GH87" s="75"/>
      <c r="GI87" s="76"/>
      <c r="GJ87" s="76"/>
      <c r="GK87" s="74"/>
      <c r="GL87" s="75"/>
      <c r="GM87" s="76"/>
      <c r="GN87" s="76"/>
      <c r="GO87" s="74"/>
      <c r="GP87" s="75"/>
      <c r="GQ87" s="76"/>
      <c r="GR87" s="76"/>
      <c r="GS87" s="74"/>
      <c r="GT87" s="75"/>
      <c r="GU87" s="76"/>
      <c r="GV87" s="76"/>
      <c r="GW87" s="74"/>
      <c r="GX87" s="75"/>
      <c r="GY87" s="76"/>
      <c r="GZ87" s="76"/>
      <c r="HA87" s="74"/>
      <c r="HB87" s="75"/>
      <c r="HC87" s="76"/>
      <c r="HD87" s="76"/>
      <c r="HE87" s="74"/>
      <c r="HF87" s="75"/>
      <c r="HG87" s="76"/>
      <c r="HH87" s="76"/>
      <c r="HI87" s="74"/>
      <c r="HJ87" s="75"/>
      <c r="HK87" s="76"/>
      <c r="HL87" s="76"/>
      <c r="HM87" s="74"/>
      <c r="HN87" s="75"/>
      <c r="HO87" s="76"/>
      <c r="HP87" s="76"/>
      <c r="HQ87" s="74"/>
      <c r="HR87" s="75"/>
      <c r="HS87" s="76"/>
      <c r="HT87" s="76"/>
      <c r="HU87" s="74"/>
      <c r="HV87" s="75"/>
      <c r="HW87" s="76"/>
      <c r="HX87" s="76"/>
      <c r="HY87" s="74"/>
      <c r="HZ87" s="75"/>
      <c r="IA87" s="76"/>
      <c r="IB87" s="76"/>
      <c r="IC87" s="74"/>
      <c r="ID87" s="75"/>
      <c r="IE87" s="76"/>
      <c r="IF87" s="76"/>
      <c r="IG87" s="74"/>
      <c r="IH87" s="75"/>
      <c r="II87" s="76"/>
      <c r="IJ87" s="76"/>
      <c r="IK87" s="74"/>
      <c r="IL87" s="75"/>
      <c r="IM87" s="76"/>
      <c r="IN87" s="76"/>
      <c r="IO87" s="74"/>
      <c r="IP87" s="75"/>
      <c r="IQ87" s="76"/>
      <c r="IR87" s="76"/>
      <c r="IS87" s="74"/>
      <c r="IT87" s="75"/>
      <c r="IU87" s="76"/>
      <c r="IV87" s="76"/>
    </row>
    <row r="88" spans="1:256" s="77" customFormat="1">
      <c r="A88" s="80"/>
      <c r="B88" s="81" t="s">
        <v>114</v>
      </c>
      <c r="C88" s="66">
        <f>C87*650*1.0851</f>
        <v>76614.136559999984</v>
      </c>
      <c r="D88" s="55" t="s">
        <v>115</v>
      </c>
      <c r="E88" s="55" t="s">
        <v>116</v>
      </c>
      <c r="F88" s="23" t="s">
        <v>117</v>
      </c>
      <c r="G88" s="76"/>
      <c r="H88" s="76"/>
      <c r="I88" s="80"/>
      <c r="J88" s="82"/>
      <c r="K88" s="76"/>
      <c r="L88" s="76"/>
      <c r="M88" s="80"/>
      <c r="N88" s="82"/>
      <c r="O88" s="76"/>
      <c r="P88" s="76"/>
      <c r="Q88" s="80"/>
      <c r="R88" s="82"/>
      <c r="S88" s="76"/>
      <c r="T88" s="76"/>
      <c r="U88" s="80"/>
      <c r="V88" s="82"/>
      <c r="W88" s="76"/>
      <c r="X88" s="76"/>
      <c r="Y88" s="80"/>
      <c r="Z88" s="82"/>
      <c r="AA88" s="76"/>
      <c r="AB88" s="76"/>
      <c r="AC88" s="80"/>
      <c r="AD88" s="82"/>
      <c r="AE88" s="76"/>
      <c r="AF88" s="76"/>
      <c r="AG88" s="80"/>
      <c r="AH88" s="82"/>
      <c r="AI88" s="76"/>
      <c r="AJ88" s="76"/>
      <c r="AK88" s="80"/>
      <c r="AL88" s="82"/>
      <c r="AM88" s="76"/>
      <c r="AN88" s="76"/>
      <c r="AO88" s="80"/>
      <c r="AP88" s="82"/>
      <c r="AQ88" s="76"/>
      <c r="AR88" s="76"/>
      <c r="AS88" s="80"/>
      <c r="AT88" s="82"/>
      <c r="AU88" s="76"/>
      <c r="AV88" s="76"/>
      <c r="AW88" s="80"/>
      <c r="AX88" s="82"/>
      <c r="AY88" s="76"/>
      <c r="AZ88" s="76"/>
      <c r="BA88" s="80"/>
      <c r="BB88" s="82"/>
      <c r="BC88" s="76"/>
      <c r="BD88" s="76"/>
      <c r="BE88" s="80"/>
      <c r="BF88" s="82"/>
      <c r="BG88" s="76"/>
      <c r="BH88" s="76"/>
      <c r="BI88" s="80"/>
      <c r="BJ88" s="82"/>
      <c r="BK88" s="76"/>
      <c r="BL88" s="76"/>
      <c r="BM88" s="80"/>
      <c r="BN88" s="82"/>
      <c r="BO88" s="76"/>
      <c r="BP88" s="76"/>
      <c r="BQ88" s="80"/>
      <c r="BR88" s="82"/>
      <c r="BS88" s="76"/>
      <c r="BT88" s="76"/>
      <c r="BU88" s="80"/>
      <c r="BV88" s="82"/>
      <c r="BW88" s="76"/>
      <c r="BX88" s="76"/>
      <c r="BY88" s="80"/>
      <c r="BZ88" s="82"/>
      <c r="CA88" s="76"/>
      <c r="CB88" s="76"/>
      <c r="CC88" s="80"/>
      <c r="CD88" s="82"/>
      <c r="CE88" s="76"/>
      <c r="CF88" s="76"/>
      <c r="CG88" s="80"/>
      <c r="CH88" s="82"/>
      <c r="CI88" s="76"/>
      <c r="CJ88" s="76"/>
      <c r="CK88" s="80"/>
      <c r="CL88" s="82"/>
      <c r="CM88" s="76"/>
      <c r="CN88" s="76"/>
      <c r="CO88" s="80"/>
      <c r="CP88" s="82"/>
      <c r="CQ88" s="76"/>
      <c r="CR88" s="76"/>
      <c r="CS88" s="80"/>
      <c r="CT88" s="82"/>
      <c r="CU88" s="76"/>
      <c r="CV88" s="76"/>
      <c r="CW88" s="80"/>
      <c r="CX88" s="82"/>
      <c r="CY88" s="76"/>
      <c r="CZ88" s="76"/>
      <c r="DA88" s="80"/>
      <c r="DB88" s="82"/>
      <c r="DC88" s="76"/>
      <c r="DD88" s="76"/>
      <c r="DE88" s="80"/>
      <c r="DF88" s="82"/>
      <c r="DG88" s="76"/>
      <c r="DH88" s="76"/>
      <c r="DI88" s="80"/>
      <c r="DJ88" s="82"/>
      <c r="DK88" s="76"/>
      <c r="DL88" s="76"/>
      <c r="DM88" s="80"/>
      <c r="DN88" s="82"/>
      <c r="DO88" s="76"/>
      <c r="DP88" s="76"/>
      <c r="DQ88" s="80"/>
      <c r="DR88" s="82"/>
      <c r="DS88" s="76"/>
      <c r="DT88" s="76"/>
      <c r="DU88" s="80"/>
      <c r="DV88" s="82"/>
      <c r="DW88" s="76"/>
      <c r="DX88" s="76"/>
      <c r="DY88" s="80"/>
      <c r="DZ88" s="82"/>
      <c r="EA88" s="76"/>
      <c r="EB88" s="76"/>
      <c r="EC88" s="80"/>
      <c r="ED88" s="82"/>
      <c r="EE88" s="76"/>
      <c r="EF88" s="76"/>
      <c r="EG88" s="80"/>
      <c r="EH88" s="82"/>
      <c r="EI88" s="76"/>
      <c r="EJ88" s="76"/>
      <c r="EK88" s="80"/>
      <c r="EL88" s="82"/>
      <c r="EM88" s="76"/>
      <c r="EN88" s="76"/>
      <c r="EO88" s="80"/>
      <c r="EP88" s="82"/>
      <c r="EQ88" s="76"/>
      <c r="ER88" s="76"/>
      <c r="ES88" s="80"/>
      <c r="ET88" s="82"/>
      <c r="EU88" s="76"/>
      <c r="EV88" s="76"/>
      <c r="EW88" s="80"/>
      <c r="EX88" s="82"/>
      <c r="EY88" s="76"/>
      <c r="EZ88" s="76"/>
      <c r="FA88" s="80"/>
      <c r="FB88" s="82"/>
      <c r="FC88" s="76"/>
      <c r="FD88" s="76"/>
      <c r="FE88" s="80"/>
      <c r="FF88" s="82"/>
      <c r="FG88" s="76"/>
      <c r="FH88" s="76"/>
      <c r="FI88" s="80"/>
      <c r="FJ88" s="82"/>
      <c r="FK88" s="76"/>
      <c r="FL88" s="76"/>
      <c r="FM88" s="80"/>
      <c r="FN88" s="82"/>
      <c r="FO88" s="76"/>
      <c r="FP88" s="76"/>
      <c r="FQ88" s="80"/>
      <c r="FR88" s="82"/>
      <c r="FS88" s="76"/>
      <c r="FT88" s="76"/>
      <c r="FU88" s="80"/>
      <c r="FV88" s="82"/>
      <c r="FW88" s="76"/>
      <c r="FX88" s="76"/>
      <c r="FY88" s="80"/>
      <c r="FZ88" s="82"/>
      <c r="GA88" s="76"/>
      <c r="GB88" s="76"/>
      <c r="GC88" s="80"/>
      <c r="GD88" s="82"/>
      <c r="GE88" s="76"/>
      <c r="GF88" s="76"/>
      <c r="GG88" s="80"/>
      <c r="GH88" s="82"/>
      <c r="GI88" s="76"/>
      <c r="GJ88" s="76"/>
      <c r="GK88" s="80"/>
      <c r="GL88" s="82"/>
      <c r="GM88" s="76"/>
      <c r="GN88" s="76"/>
      <c r="GO88" s="80"/>
      <c r="GP88" s="82"/>
      <c r="GQ88" s="76"/>
      <c r="GR88" s="76"/>
      <c r="GS88" s="80"/>
      <c r="GT88" s="82"/>
      <c r="GU88" s="76"/>
      <c r="GV88" s="76"/>
      <c r="GW88" s="80"/>
      <c r="GX88" s="82"/>
      <c r="GY88" s="76"/>
      <c r="GZ88" s="76"/>
      <c r="HA88" s="80"/>
      <c r="HB88" s="82"/>
      <c r="HC88" s="76"/>
      <c r="HD88" s="76"/>
      <c r="HE88" s="80"/>
      <c r="HF88" s="82"/>
      <c r="HG88" s="76"/>
      <c r="HH88" s="76"/>
      <c r="HI88" s="80"/>
      <c r="HJ88" s="82"/>
      <c r="HK88" s="76"/>
      <c r="HL88" s="76"/>
      <c r="HM88" s="80"/>
      <c r="HN88" s="82"/>
      <c r="HO88" s="76"/>
      <c r="HP88" s="76"/>
      <c r="HQ88" s="80"/>
      <c r="HR88" s="82"/>
      <c r="HS88" s="76"/>
      <c r="HT88" s="76"/>
      <c r="HU88" s="80"/>
      <c r="HV88" s="82"/>
      <c r="HW88" s="76"/>
      <c r="HX88" s="76"/>
      <c r="HY88" s="80"/>
      <c r="HZ88" s="82"/>
      <c r="IA88" s="76"/>
      <c r="IB88" s="76"/>
      <c r="IC88" s="80"/>
      <c r="ID88" s="82"/>
      <c r="IE88" s="76"/>
      <c r="IF88" s="76"/>
      <c r="IG88" s="80"/>
      <c r="IH88" s="82"/>
      <c r="II88" s="76"/>
      <c r="IJ88" s="76"/>
      <c r="IK88" s="80"/>
      <c r="IL88" s="82"/>
      <c r="IM88" s="76"/>
      <c r="IN88" s="76"/>
      <c r="IO88" s="80"/>
      <c r="IP88" s="82"/>
      <c r="IQ88" s="76"/>
      <c r="IR88" s="76"/>
      <c r="IS88" s="80"/>
      <c r="IT88" s="82"/>
      <c r="IU88" s="76"/>
      <c r="IV88" s="76"/>
    </row>
    <row r="89" spans="1:256" s="77" customFormat="1">
      <c r="A89" s="80"/>
      <c r="B89" s="81" t="s">
        <v>118</v>
      </c>
      <c r="C89" s="66">
        <f>(0/100)*C88</f>
        <v>0</v>
      </c>
      <c r="D89" s="55" t="s">
        <v>119</v>
      </c>
      <c r="E89" s="55" t="s">
        <v>79</v>
      </c>
      <c r="F89" s="82"/>
      <c r="G89" s="76"/>
      <c r="H89" s="76"/>
      <c r="I89" s="80"/>
      <c r="J89" s="82"/>
      <c r="K89" s="76"/>
      <c r="L89" s="76"/>
      <c r="M89" s="80"/>
      <c r="N89" s="82"/>
      <c r="O89" s="76"/>
      <c r="P89" s="76"/>
      <c r="Q89" s="80"/>
      <c r="R89" s="82"/>
      <c r="S89" s="76"/>
      <c r="T89" s="76"/>
      <c r="U89" s="80"/>
      <c r="V89" s="82"/>
      <c r="W89" s="76"/>
      <c r="X89" s="76"/>
      <c r="Y89" s="80"/>
      <c r="Z89" s="82"/>
      <c r="AA89" s="76"/>
      <c r="AB89" s="76"/>
      <c r="AC89" s="80"/>
      <c r="AD89" s="82"/>
      <c r="AE89" s="76"/>
      <c r="AF89" s="76"/>
      <c r="AG89" s="80"/>
      <c r="AH89" s="82"/>
      <c r="AI89" s="76"/>
      <c r="AJ89" s="76"/>
      <c r="AK89" s="80"/>
      <c r="AL89" s="82"/>
      <c r="AM89" s="76"/>
      <c r="AN89" s="76"/>
      <c r="AO89" s="80"/>
      <c r="AP89" s="82"/>
      <c r="AQ89" s="76"/>
      <c r="AR89" s="76"/>
      <c r="AS89" s="80"/>
      <c r="AT89" s="82"/>
      <c r="AU89" s="76"/>
      <c r="AV89" s="76"/>
      <c r="AW89" s="80"/>
      <c r="AX89" s="82"/>
      <c r="AY89" s="76"/>
      <c r="AZ89" s="76"/>
      <c r="BA89" s="80"/>
      <c r="BB89" s="82"/>
      <c r="BC89" s="76"/>
      <c r="BD89" s="76"/>
      <c r="BE89" s="80"/>
      <c r="BF89" s="82"/>
      <c r="BG89" s="76"/>
      <c r="BH89" s="76"/>
      <c r="BI89" s="80"/>
      <c r="BJ89" s="82"/>
      <c r="BK89" s="76"/>
      <c r="BL89" s="76"/>
      <c r="BM89" s="80"/>
      <c r="BN89" s="82"/>
      <c r="BO89" s="76"/>
      <c r="BP89" s="76"/>
      <c r="BQ89" s="80"/>
      <c r="BR89" s="82"/>
      <c r="BS89" s="76"/>
      <c r="BT89" s="76"/>
      <c r="BU89" s="80"/>
      <c r="BV89" s="82"/>
      <c r="BW89" s="76"/>
      <c r="BX89" s="76"/>
      <c r="BY89" s="80"/>
      <c r="BZ89" s="82"/>
      <c r="CA89" s="76"/>
      <c r="CB89" s="76"/>
      <c r="CC89" s="80"/>
      <c r="CD89" s="82"/>
      <c r="CE89" s="76"/>
      <c r="CF89" s="76"/>
      <c r="CG89" s="80"/>
      <c r="CH89" s="82"/>
      <c r="CI89" s="76"/>
      <c r="CJ89" s="76"/>
      <c r="CK89" s="80"/>
      <c r="CL89" s="82"/>
      <c r="CM89" s="76"/>
      <c r="CN89" s="76"/>
      <c r="CO89" s="80"/>
      <c r="CP89" s="82"/>
      <c r="CQ89" s="76"/>
      <c r="CR89" s="76"/>
      <c r="CS89" s="80"/>
      <c r="CT89" s="82"/>
      <c r="CU89" s="76"/>
      <c r="CV89" s="76"/>
      <c r="CW89" s="80"/>
      <c r="CX89" s="82"/>
      <c r="CY89" s="76"/>
      <c r="CZ89" s="76"/>
      <c r="DA89" s="80"/>
      <c r="DB89" s="82"/>
      <c r="DC89" s="76"/>
      <c r="DD89" s="76"/>
      <c r="DE89" s="80"/>
      <c r="DF89" s="82"/>
      <c r="DG89" s="76"/>
      <c r="DH89" s="76"/>
      <c r="DI89" s="80"/>
      <c r="DJ89" s="82"/>
      <c r="DK89" s="76"/>
      <c r="DL89" s="76"/>
      <c r="DM89" s="80"/>
      <c r="DN89" s="82"/>
      <c r="DO89" s="76"/>
      <c r="DP89" s="76"/>
      <c r="DQ89" s="80"/>
      <c r="DR89" s="82"/>
      <c r="DS89" s="76"/>
      <c r="DT89" s="76"/>
      <c r="DU89" s="80"/>
      <c r="DV89" s="82"/>
      <c r="DW89" s="76"/>
      <c r="DX89" s="76"/>
      <c r="DY89" s="80"/>
      <c r="DZ89" s="82"/>
      <c r="EA89" s="76"/>
      <c r="EB89" s="76"/>
      <c r="EC89" s="80"/>
      <c r="ED89" s="82"/>
      <c r="EE89" s="76"/>
      <c r="EF89" s="76"/>
      <c r="EG89" s="80"/>
      <c r="EH89" s="82"/>
      <c r="EI89" s="76"/>
      <c r="EJ89" s="76"/>
      <c r="EK89" s="80"/>
      <c r="EL89" s="82"/>
      <c r="EM89" s="76"/>
      <c r="EN89" s="76"/>
      <c r="EO89" s="80"/>
      <c r="EP89" s="82"/>
      <c r="EQ89" s="76"/>
      <c r="ER89" s="76"/>
      <c r="ES89" s="80"/>
      <c r="ET89" s="82"/>
      <c r="EU89" s="76"/>
      <c r="EV89" s="76"/>
      <c r="EW89" s="80"/>
      <c r="EX89" s="82"/>
      <c r="EY89" s="76"/>
      <c r="EZ89" s="76"/>
      <c r="FA89" s="80"/>
      <c r="FB89" s="82"/>
      <c r="FC89" s="76"/>
      <c r="FD89" s="76"/>
      <c r="FE89" s="80"/>
      <c r="FF89" s="82"/>
      <c r="FG89" s="76"/>
      <c r="FH89" s="76"/>
      <c r="FI89" s="80"/>
      <c r="FJ89" s="82"/>
      <c r="FK89" s="76"/>
      <c r="FL89" s="76"/>
      <c r="FM89" s="80"/>
      <c r="FN89" s="82"/>
      <c r="FO89" s="76"/>
      <c r="FP89" s="76"/>
      <c r="FQ89" s="80"/>
      <c r="FR89" s="82"/>
      <c r="FS89" s="76"/>
      <c r="FT89" s="76"/>
      <c r="FU89" s="80"/>
      <c r="FV89" s="82"/>
      <c r="FW89" s="76"/>
      <c r="FX89" s="76"/>
      <c r="FY89" s="80"/>
      <c r="FZ89" s="82"/>
      <c r="GA89" s="76"/>
      <c r="GB89" s="76"/>
      <c r="GC89" s="80"/>
      <c r="GD89" s="82"/>
      <c r="GE89" s="76"/>
      <c r="GF89" s="76"/>
      <c r="GG89" s="80"/>
      <c r="GH89" s="82"/>
      <c r="GI89" s="76"/>
      <c r="GJ89" s="76"/>
      <c r="GK89" s="80"/>
      <c r="GL89" s="82"/>
      <c r="GM89" s="76"/>
      <c r="GN89" s="76"/>
      <c r="GO89" s="80"/>
      <c r="GP89" s="82"/>
      <c r="GQ89" s="76"/>
      <c r="GR89" s="76"/>
      <c r="GS89" s="80"/>
      <c r="GT89" s="82"/>
      <c r="GU89" s="76"/>
      <c r="GV89" s="76"/>
      <c r="GW89" s="80"/>
      <c r="GX89" s="82"/>
      <c r="GY89" s="76"/>
      <c r="GZ89" s="76"/>
      <c r="HA89" s="80"/>
      <c r="HB89" s="82"/>
      <c r="HC89" s="76"/>
      <c r="HD89" s="76"/>
      <c r="HE89" s="80"/>
      <c r="HF89" s="82"/>
      <c r="HG89" s="76"/>
      <c r="HH89" s="76"/>
      <c r="HI89" s="80"/>
      <c r="HJ89" s="82"/>
      <c r="HK89" s="76"/>
      <c r="HL89" s="76"/>
      <c r="HM89" s="80"/>
      <c r="HN89" s="82"/>
      <c r="HO89" s="76"/>
      <c r="HP89" s="76"/>
      <c r="HQ89" s="80"/>
      <c r="HR89" s="82"/>
      <c r="HS89" s="76"/>
      <c r="HT89" s="76"/>
      <c r="HU89" s="80"/>
      <c r="HV89" s="82"/>
      <c r="HW89" s="76"/>
      <c r="HX89" s="76"/>
      <c r="HY89" s="80"/>
      <c r="HZ89" s="82"/>
      <c r="IA89" s="76"/>
      <c r="IB89" s="76"/>
      <c r="IC89" s="80"/>
      <c r="ID89" s="82"/>
      <c r="IE89" s="76"/>
      <c r="IF89" s="76"/>
      <c r="IG89" s="80"/>
      <c r="IH89" s="82"/>
      <c r="II89" s="76"/>
      <c r="IJ89" s="76"/>
      <c r="IK89" s="80"/>
      <c r="IL89" s="82"/>
      <c r="IM89" s="76"/>
      <c r="IN89" s="76"/>
      <c r="IO89" s="80"/>
      <c r="IP89" s="82"/>
      <c r="IQ89" s="76"/>
      <c r="IR89" s="76"/>
      <c r="IS89" s="80"/>
      <c r="IT89" s="82"/>
      <c r="IU89" s="76"/>
      <c r="IV89" s="76"/>
    </row>
    <row r="90" spans="1:256" s="77" customFormat="1">
      <c r="A90" s="80"/>
      <c r="B90" s="81" t="s">
        <v>120</v>
      </c>
      <c r="C90" s="54">
        <v>3</v>
      </c>
      <c r="D90" s="55" t="s">
        <v>121</v>
      </c>
      <c r="E90" s="55" t="s">
        <v>79</v>
      </c>
      <c r="F90" s="75"/>
      <c r="G90" s="76"/>
      <c r="H90" s="76"/>
      <c r="I90" s="80"/>
      <c r="J90" s="75"/>
      <c r="K90" s="76"/>
      <c r="L90" s="76"/>
      <c r="M90" s="80"/>
      <c r="N90" s="75"/>
      <c r="O90" s="76"/>
      <c r="P90" s="76"/>
      <c r="Q90" s="80"/>
      <c r="R90" s="75"/>
      <c r="S90" s="76"/>
      <c r="T90" s="76"/>
      <c r="U90" s="80"/>
      <c r="V90" s="75"/>
      <c r="W90" s="76"/>
      <c r="X90" s="76"/>
      <c r="Y90" s="80"/>
      <c r="Z90" s="75"/>
      <c r="AA90" s="76"/>
      <c r="AB90" s="76"/>
      <c r="AC90" s="80"/>
      <c r="AD90" s="75"/>
      <c r="AE90" s="76"/>
      <c r="AF90" s="76"/>
      <c r="AG90" s="80"/>
      <c r="AH90" s="75"/>
      <c r="AI90" s="76"/>
      <c r="AJ90" s="76"/>
      <c r="AK90" s="80"/>
      <c r="AL90" s="75"/>
      <c r="AM90" s="76"/>
      <c r="AN90" s="76"/>
      <c r="AO90" s="80"/>
      <c r="AP90" s="75"/>
      <c r="AQ90" s="76"/>
      <c r="AR90" s="76"/>
      <c r="AS90" s="80"/>
      <c r="AT90" s="75"/>
      <c r="AU90" s="76"/>
      <c r="AV90" s="76"/>
      <c r="AW90" s="80"/>
      <c r="AX90" s="75"/>
      <c r="AY90" s="76"/>
      <c r="AZ90" s="76"/>
      <c r="BA90" s="80"/>
      <c r="BB90" s="75"/>
      <c r="BC90" s="76"/>
      <c r="BD90" s="76"/>
      <c r="BE90" s="80"/>
      <c r="BF90" s="75"/>
      <c r="BG90" s="76"/>
      <c r="BH90" s="76"/>
      <c r="BI90" s="80"/>
      <c r="BJ90" s="75"/>
      <c r="BK90" s="76"/>
      <c r="BL90" s="76"/>
      <c r="BM90" s="80"/>
      <c r="BN90" s="75"/>
      <c r="BO90" s="76"/>
      <c r="BP90" s="76"/>
      <c r="BQ90" s="80"/>
      <c r="BR90" s="75"/>
      <c r="BS90" s="76"/>
      <c r="BT90" s="76"/>
      <c r="BU90" s="80"/>
      <c r="BV90" s="75"/>
      <c r="BW90" s="76"/>
      <c r="BX90" s="76"/>
      <c r="BY90" s="80"/>
      <c r="BZ90" s="75"/>
      <c r="CA90" s="76"/>
      <c r="CB90" s="76"/>
      <c r="CC90" s="80"/>
      <c r="CD90" s="75"/>
      <c r="CE90" s="76"/>
      <c r="CF90" s="76"/>
      <c r="CG90" s="80"/>
      <c r="CH90" s="75"/>
      <c r="CI90" s="76"/>
      <c r="CJ90" s="76"/>
      <c r="CK90" s="80"/>
      <c r="CL90" s="75"/>
      <c r="CM90" s="76"/>
      <c r="CN90" s="76"/>
      <c r="CO90" s="80"/>
      <c r="CP90" s="75"/>
      <c r="CQ90" s="76"/>
      <c r="CR90" s="76"/>
      <c r="CS90" s="80"/>
      <c r="CT90" s="75"/>
      <c r="CU90" s="76"/>
      <c r="CV90" s="76"/>
      <c r="CW90" s="80"/>
      <c r="CX90" s="75"/>
      <c r="CY90" s="76"/>
      <c r="CZ90" s="76"/>
      <c r="DA90" s="80"/>
      <c r="DB90" s="75"/>
      <c r="DC90" s="76"/>
      <c r="DD90" s="76"/>
      <c r="DE90" s="80"/>
      <c r="DF90" s="75"/>
      <c r="DG90" s="76"/>
      <c r="DH90" s="76"/>
      <c r="DI90" s="80"/>
      <c r="DJ90" s="75"/>
      <c r="DK90" s="76"/>
      <c r="DL90" s="76"/>
      <c r="DM90" s="80"/>
      <c r="DN90" s="75"/>
      <c r="DO90" s="76"/>
      <c r="DP90" s="76"/>
      <c r="DQ90" s="80"/>
      <c r="DR90" s="75"/>
      <c r="DS90" s="76"/>
      <c r="DT90" s="76"/>
      <c r="DU90" s="80"/>
      <c r="DV90" s="75"/>
      <c r="DW90" s="76"/>
      <c r="DX90" s="76"/>
      <c r="DY90" s="80"/>
      <c r="DZ90" s="75"/>
      <c r="EA90" s="76"/>
      <c r="EB90" s="76"/>
      <c r="EC90" s="80"/>
      <c r="ED90" s="75"/>
      <c r="EE90" s="76"/>
      <c r="EF90" s="76"/>
      <c r="EG90" s="80"/>
      <c r="EH90" s="75"/>
      <c r="EI90" s="76"/>
      <c r="EJ90" s="76"/>
      <c r="EK90" s="80"/>
      <c r="EL90" s="75"/>
      <c r="EM90" s="76"/>
      <c r="EN90" s="76"/>
      <c r="EO90" s="80"/>
      <c r="EP90" s="75"/>
      <c r="EQ90" s="76"/>
      <c r="ER90" s="76"/>
      <c r="ES90" s="80"/>
      <c r="ET90" s="75"/>
      <c r="EU90" s="76"/>
      <c r="EV90" s="76"/>
      <c r="EW90" s="80"/>
      <c r="EX90" s="75"/>
      <c r="EY90" s="76"/>
      <c r="EZ90" s="76"/>
      <c r="FA90" s="80"/>
      <c r="FB90" s="75"/>
      <c r="FC90" s="76"/>
      <c r="FD90" s="76"/>
      <c r="FE90" s="80"/>
      <c r="FF90" s="75"/>
      <c r="FG90" s="76"/>
      <c r="FH90" s="76"/>
      <c r="FI90" s="80"/>
      <c r="FJ90" s="75"/>
      <c r="FK90" s="76"/>
      <c r="FL90" s="76"/>
      <c r="FM90" s="80"/>
      <c r="FN90" s="75"/>
      <c r="FO90" s="76"/>
      <c r="FP90" s="76"/>
      <c r="FQ90" s="80"/>
      <c r="FR90" s="75"/>
      <c r="FS90" s="76"/>
      <c r="FT90" s="76"/>
      <c r="FU90" s="80"/>
      <c r="FV90" s="75"/>
      <c r="FW90" s="76"/>
      <c r="FX90" s="76"/>
      <c r="FY90" s="80"/>
      <c r="FZ90" s="75"/>
      <c r="GA90" s="76"/>
      <c r="GB90" s="76"/>
      <c r="GC90" s="80"/>
      <c r="GD90" s="75"/>
      <c r="GE90" s="76"/>
      <c r="GF90" s="76"/>
      <c r="GG90" s="80"/>
      <c r="GH90" s="75"/>
      <c r="GI90" s="76"/>
      <c r="GJ90" s="76"/>
      <c r="GK90" s="80"/>
      <c r="GL90" s="75"/>
      <c r="GM90" s="76"/>
      <c r="GN90" s="76"/>
      <c r="GO90" s="80"/>
      <c r="GP90" s="75"/>
      <c r="GQ90" s="76"/>
      <c r="GR90" s="76"/>
      <c r="GS90" s="80"/>
      <c r="GT90" s="75"/>
      <c r="GU90" s="76"/>
      <c r="GV90" s="76"/>
      <c r="GW90" s="80"/>
      <c r="GX90" s="75"/>
      <c r="GY90" s="76"/>
      <c r="GZ90" s="76"/>
      <c r="HA90" s="80"/>
      <c r="HB90" s="75"/>
      <c r="HC90" s="76"/>
      <c r="HD90" s="76"/>
      <c r="HE90" s="80"/>
      <c r="HF90" s="75"/>
      <c r="HG90" s="76"/>
      <c r="HH90" s="76"/>
      <c r="HI90" s="80"/>
      <c r="HJ90" s="75"/>
      <c r="HK90" s="76"/>
      <c r="HL90" s="76"/>
      <c r="HM90" s="80"/>
      <c r="HN90" s="75"/>
      <c r="HO90" s="76"/>
      <c r="HP90" s="76"/>
      <c r="HQ90" s="80"/>
      <c r="HR90" s="75"/>
      <c r="HS90" s="76"/>
      <c r="HT90" s="76"/>
      <c r="HU90" s="80"/>
      <c r="HV90" s="75"/>
      <c r="HW90" s="76"/>
      <c r="HX90" s="76"/>
      <c r="HY90" s="80"/>
      <c r="HZ90" s="75"/>
      <c r="IA90" s="76"/>
      <c r="IB90" s="76"/>
      <c r="IC90" s="80"/>
      <c r="ID90" s="75"/>
      <c r="IE90" s="76"/>
      <c r="IF90" s="76"/>
      <c r="IG90" s="80"/>
      <c r="IH90" s="75"/>
      <c r="II90" s="76"/>
      <c r="IJ90" s="76"/>
      <c r="IK90" s="80"/>
      <c r="IL90" s="75"/>
      <c r="IM90" s="76"/>
      <c r="IN90" s="76"/>
      <c r="IO90" s="80"/>
      <c r="IP90" s="75"/>
      <c r="IQ90" s="76"/>
      <c r="IR90" s="76"/>
      <c r="IS90" s="80"/>
      <c r="IT90" s="75"/>
      <c r="IU90" s="76"/>
      <c r="IV90" s="76"/>
    </row>
    <row r="91" spans="1:256" s="77" customFormat="1">
      <c r="A91" s="80"/>
      <c r="B91" s="81" t="s">
        <v>122</v>
      </c>
      <c r="C91" s="83">
        <f>C13</f>
        <v>7</v>
      </c>
      <c r="D91" s="55" t="s">
        <v>123</v>
      </c>
      <c r="E91" s="55" t="s">
        <v>79</v>
      </c>
      <c r="F91" s="84"/>
      <c r="G91" s="76"/>
      <c r="H91" s="76"/>
      <c r="I91" s="80"/>
      <c r="J91" s="84"/>
      <c r="K91" s="76"/>
      <c r="L91" s="76"/>
      <c r="M91" s="80"/>
      <c r="N91" s="84"/>
      <c r="O91" s="76"/>
      <c r="P91" s="76"/>
      <c r="Q91" s="80"/>
      <c r="R91" s="84"/>
      <c r="S91" s="76"/>
      <c r="T91" s="76"/>
      <c r="U91" s="80"/>
      <c r="V91" s="84"/>
      <c r="W91" s="76"/>
      <c r="X91" s="76"/>
      <c r="Y91" s="80"/>
      <c r="Z91" s="84"/>
      <c r="AA91" s="76"/>
      <c r="AB91" s="76"/>
      <c r="AC91" s="80"/>
      <c r="AD91" s="84"/>
      <c r="AE91" s="76"/>
      <c r="AF91" s="76"/>
      <c r="AG91" s="80"/>
      <c r="AH91" s="84"/>
      <c r="AI91" s="76"/>
      <c r="AJ91" s="76"/>
      <c r="AK91" s="80"/>
      <c r="AL91" s="84"/>
      <c r="AM91" s="76"/>
      <c r="AN91" s="76"/>
      <c r="AO91" s="80"/>
      <c r="AP91" s="84"/>
      <c r="AQ91" s="76"/>
      <c r="AR91" s="76"/>
      <c r="AS91" s="80"/>
      <c r="AT91" s="84"/>
      <c r="AU91" s="76"/>
      <c r="AV91" s="76"/>
      <c r="AW91" s="80"/>
      <c r="AX91" s="84"/>
      <c r="AY91" s="76"/>
      <c r="AZ91" s="76"/>
      <c r="BA91" s="80"/>
      <c r="BB91" s="84"/>
      <c r="BC91" s="76"/>
      <c r="BD91" s="76"/>
      <c r="BE91" s="80"/>
      <c r="BF91" s="84"/>
      <c r="BG91" s="76"/>
      <c r="BH91" s="76"/>
      <c r="BI91" s="80"/>
      <c r="BJ91" s="84"/>
      <c r="BK91" s="76"/>
      <c r="BL91" s="76"/>
      <c r="BM91" s="80"/>
      <c r="BN91" s="84"/>
      <c r="BO91" s="76"/>
      <c r="BP91" s="76"/>
      <c r="BQ91" s="80"/>
      <c r="BR91" s="84"/>
      <c r="BS91" s="76"/>
      <c r="BT91" s="76"/>
      <c r="BU91" s="80"/>
      <c r="BV91" s="84"/>
      <c r="BW91" s="76"/>
      <c r="BX91" s="76"/>
      <c r="BY91" s="80"/>
      <c r="BZ91" s="84"/>
      <c r="CA91" s="76"/>
      <c r="CB91" s="76"/>
      <c r="CC91" s="80"/>
      <c r="CD91" s="84"/>
      <c r="CE91" s="76"/>
      <c r="CF91" s="76"/>
      <c r="CG91" s="80"/>
      <c r="CH91" s="84"/>
      <c r="CI91" s="76"/>
      <c r="CJ91" s="76"/>
      <c r="CK91" s="80"/>
      <c r="CL91" s="84"/>
      <c r="CM91" s="76"/>
      <c r="CN91" s="76"/>
      <c r="CO91" s="80"/>
      <c r="CP91" s="84"/>
      <c r="CQ91" s="76"/>
      <c r="CR91" s="76"/>
      <c r="CS91" s="80"/>
      <c r="CT91" s="84"/>
      <c r="CU91" s="76"/>
      <c r="CV91" s="76"/>
      <c r="CW91" s="80"/>
      <c r="CX91" s="84"/>
      <c r="CY91" s="76"/>
      <c r="CZ91" s="76"/>
      <c r="DA91" s="80"/>
      <c r="DB91" s="84"/>
      <c r="DC91" s="76"/>
      <c r="DD91" s="76"/>
      <c r="DE91" s="80"/>
      <c r="DF91" s="84"/>
      <c r="DG91" s="76"/>
      <c r="DH91" s="76"/>
      <c r="DI91" s="80"/>
      <c r="DJ91" s="84"/>
      <c r="DK91" s="76"/>
      <c r="DL91" s="76"/>
      <c r="DM91" s="80"/>
      <c r="DN91" s="84"/>
      <c r="DO91" s="76"/>
      <c r="DP91" s="76"/>
      <c r="DQ91" s="80"/>
      <c r="DR91" s="84"/>
      <c r="DS91" s="76"/>
      <c r="DT91" s="76"/>
      <c r="DU91" s="80"/>
      <c r="DV91" s="84"/>
      <c r="DW91" s="76"/>
      <c r="DX91" s="76"/>
      <c r="DY91" s="80"/>
      <c r="DZ91" s="84"/>
      <c r="EA91" s="76"/>
      <c r="EB91" s="76"/>
      <c r="EC91" s="80"/>
      <c r="ED91" s="84"/>
      <c r="EE91" s="76"/>
      <c r="EF91" s="76"/>
      <c r="EG91" s="80"/>
      <c r="EH91" s="84"/>
      <c r="EI91" s="76"/>
      <c r="EJ91" s="76"/>
      <c r="EK91" s="80"/>
      <c r="EL91" s="84"/>
      <c r="EM91" s="76"/>
      <c r="EN91" s="76"/>
      <c r="EO91" s="80"/>
      <c r="EP91" s="84"/>
      <c r="EQ91" s="76"/>
      <c r="ER91" s="76"/>
      <c r="ES91" s="80"/>
      <c r="ET91" s="84"/>
      <c r="EU91" s="76"/>
      <c r="EV91" s="76"/>
      <c r="EW91" s="80"/>
      <c r="EX91" s="84"/>
      <c r="EY91" s="76"/>
      <c r="EZ91" s="76"/>
      <c r="FA91" s="80"/>
      <c r="FB91" s="84"/>
      <c r="FC91" s="76"/>
      <c r="FD91" s="76"/>
      <c r="FE91" s="80"/>
      <c r="FF91" s="84"/>
      <c r="FG91" s="76"/>
      <c r="FH91" s="76"/>
      <c r="FI91" s="80"/>
      <c r="FJ91" s="84"/>
      <c r="FK91" s="76"/>
      <c r="FL91" s="76"/>
      <c r="FM91" s="80"/>
      <c r="FN91" s="84"/>
      <c r="FO91" s="76"/>
      <c r="FP91" s="76"/>
      <c r="FQ91" s="80"/>
      <c r="FR91" s="84"/>
      <c r="FS91" s="76"/>
      <c r="FT91" s="76"/>
      <c r="FU91" s="80"/>
      <c r="FV91" s="84"/>
      <c r="FW91" s="76"/>
      <c r="FX91" s="76"/>
      <c r="FY91" s="80"/>
      <c r="FZ91" s="84"/>
      <c r="GA91" s="76"/>
      <c r="GB91" s="76"/>
      <c r="GC91" s="80"/>
      <c r="GD91" s="84"/>
      <c r="GE91" s="76"/>
      <c r="GF91" s="76"/>
      <c r="GG91" s="80"/>
      <c r="GH91" s="84"/>
      <c r="GI91" s="76"/>
      <c r="GJ91" s="76"/>
      <c r="GK91" s="80"/>
      <c r="GL91" s="84"/>
      <c r="GM91" s="76"/>
      <c r="GN91" s="76"/>
      <c r="GO91" s="80"/>
      <c r="GP91" s="84"/>
      <c r="GQ91" s="76"/>
      <c r="GR91" s="76"/>
      <c r="GS91" s="80"/>
      <c r="GT91" s="84"/>
      <c r="GU91" s="76"/>
      <c r="GV91" s="76"/>
      <c r="GW91" s="80"/>
      <c r="GX91" s="84"/>
      <c r="GY91" s="76"/>
      <c r="GZ91" s="76"/>
      <c r="HA91" s="80"/>
      <c r="HB91" s="84"/>
      <c r="HC91" s="76"/>
      <c r="HD91" s="76"/>
      <c r="HE91" s="80"/>
      <c r="HF91" s="84"/>
      <c r="HG91" s="76"/>
      <c r="HH91" s="76"/>
      <c r="HI91" s="80"/>
      <c r="HJ91" s="84"/>
      <c r="HK91" s="76"/>
      <c r="HL91" s="76"/>
      <c r="HM91" s="80"/>
      <c r="HN91" s="84"/>
      <c r="HO91" s="76"/>
      <c r="HP91" s="76"/>
      <c r="HQ91" s="80"/>
      <c r="HR91" s="84"/>
      <c r="HS91" s="76"/>
      <c r="HT91" s="76"/>
      <c r="HU91" s="80"/>
      <c r="HV91" s="84"/>
      <c r="HW91" s="76"/>
      <c r="HX91" s="76"/>
      <c r="HY91" s="80"/>
      <c r="HZ91" s="84"/>
      <c r="IA91" s="76"/>
      <c r="IB91" s="76"/>
      <c r="IC91" s="80"/>
      <c r="ID91" s="84"/>
      <c r="IE91" s="76"/>
      <c r="IF91" s="76"/>
      <c r="IG91" s="80"/>
      <c r="IH91" s="84"/>
      <c r="II91" s="76"/>
      <c r="IJ91" s="76"/>
      <c r="IK91" s="80"/>
      <c r="IL91" s="84"/>
      <c r="IM91" s="76"/>
      <c r="IN91" s="76"/>
      <c r="IO91" s="80"/>
      <c r="IP91" s="84"/>
      <c r="IQ91" s="76"/>
      <c r="IR91" s="76"/>
      <c r="IS91" s="80"/>
      <c r="IT91" s="84"/>
      <c r="IU91" s="76"/>
      <c r="IV91" s="76"/>
    </row>
    <row r="92" spans="1:256" s="77" customFormat="1">
      <c r="A92" s="80"/>
      <c r="B92" s="81" t="s">
        <v>124</v>
      </c>
      <c r="C92" s="85">
        <f>((+C91/100)*((1+C91/100)^C90))/(((1+C91/100)^C90)-1)</f>
        <v>0.38105166568166965</v>
      </c>
      <c r="D92" s="55" t="s">
        <v>125</v>
      </c>
      <c r="E92" s="55" t="s">
        <v>85</v>
      </c>
      <c r="F92" s="86"/>
      <c r="G92" s="76"/>
      <c r="H92" s="76"/>
      <c r="I92" s="80"/>
      <c r="J92" s="86"/>
      <c r="K92" s="76"/>
      <c r="L92" s="76"/>
      <c r="M92" s="80"/>
      <c r="N92" s="86"/>
      <c r="O92" s="76"/>
      <c r="P92" s="76"/>
      <c r="Q92" s="80"/>
      <c r="R92" s="86"/>
      <c r="S92" s="76"/>
      <c r="T92" s="76"/>
      <c r="U92" s="80"/>
      <c r="V92" s="86"/>
      <c r="W92" s="76"/>
      <c r="X92" s="76"/>
      <c r="Y92" s="80"/>
      <c r="Z92" s="86"/>
      <c r="AA92" s="76"/>
      <c r="AB92" s="76"/>
      <c r="AC92" s="80"/>
      <c r="AD92" s="86"/>
      <c r="AE92" s="76"/>
      <c r="AF92" s="76"/>
      <c r="AG92" s="80"/>
      <c r="AH92" s="86"/>
      <c r="AI92" s="76"/>
      <c r="AJ92" s="76"/>
      <c r="AK92" s="80"/>
      <c r="AL92" s="86"/>
      <c r="AM92" s="76"/>
      <c r="AN92" s="76"/>
      <c r="AO92" s="80"/>
      <c r="AP92" s="86"/>
      <c r="AQ92" s="76"/>
      <c r="AR92" s="76"/>
      <c r="AS92" s="80"/>
      <c r="AT92" s="86"/>
      <c r="AU92" s="76"/>
      <c r="AV92" s="76"/>
      <c r="AW92" s="80"/>
      <c r="AX92" s="86"/>
      <c r="AY92" s="76"/>
      <c r="AZ92" s="76"/>
      <c r="BA92" s="80"/>
      <c r="BB92" s="86"/>
      <c r="BC92" s="76"/>
      <c r="BD92" s="76"/>
      <c r="BE92" s="80"/>
      <c r="BF92" s="86"/>
      <c r="BG92" s="76"/>
      <c r="BH92" s="76"/>
      <c r="BI92" s="80"/>
      <c r="BJ92" s="86"/>
      <c r="BK92" s="76"/>
      <c r="BL92" s="76"/>
      <c r="BM92" s="80"/>
      <c r="BN92" s="86"/>
      <c r="BO92" s="76"/>
      <c r="BP92" s="76"/>
      <c r="BQ92" s="80"/>
      <c r="BR92" s="86"/>
      <c r="BS92" s="76"/>
      <c r="BT92" s="76"/>
      <c r="BU92" s="80"/>
      <c r="BV92" s="86"/>
      <c r="BW92" s="76"/>
      <c r="BX92" s="76"/>
      <c r="BY92" s="80"/>
      <c r="BZ92" s="86"/>
      <c r="CA92" s="76"/>
      <c r="CB92" s="76"/>
      <c r="CC92" s="80"/>
      <c r="CD92" s="86"/>
      <c r="CE92" s="76"/>
      <c r="CF92" s="76"/>
      <c r="CG92" s="80"/>
      <c r="CH92" s="86"/>
      <c r="CI92" s="76"/>
      <c r="CJ92" s="76"/>
      <c r="CK92" s="80"/>
      <c r="CL92" s="86"/>
      <c r="CM92" s="76"/>
      <c r="CN92" s="76"/>
      <c r="CO92" s="80"/>
      <c r="CP92" s="86"/>
      <c r="CQ92" s="76"/>
      <c r="CR92" s="76"/>
      <c r="CS92" s="80"/>
      <c r="CT92" s="86"/>
      <c r="CU92" s="76"/>
      <c r="CV92" s="76"/>
      <c r="CW92" s="80"/>
      <c r="CX92" s="86"/>
      <c r="CY92" s="76"/>
      <c r="CZ92" s="76"/>
      <c r="DA92" s="80"/>
      <c r="DB92" s="86"/>
      <c r="DC92" s="76"/>
      <c r="DD92" s="76"/>
      <c r="DE92" s="80"/>
      <c r="DF92" s="86"/>
      <c r="DG92" s="76"/>
      <c r="DH92" s="76"/>
      <c r="DI92" s="80"/>
      <c r="DJ92" s="86"/>
      <c r="DK92" s="76"/>
      <c r="DL92" s="76"/>
      <c r="DM92" s="80"/>
      <c r="DN92" s="86"/>
      <c r="DO92" s="76"/>
      <c r="DP92" s="76"/>
      <c r="DQ92" s="80"/>
      <c r="DR92" s="86"/>
      <c r="DS92" s="76"/>
      <c r="DT92" s="76"/>
      <c r="DU92" s="80"/>
      <c r="DV92" s="86"/>
      <c r="DW92" s="76"/>
      <c r="DX92" s="76"/>
      <c r="DY92" s="80"/>
      <c r="DZ92" s="86"/>
      <c r="EA92" s="76"/>
      <c r="EB92" s="76"/>
      <c r="EC92" s="80"/>
      <c r="ED92" s="86"/>
      <c r="EE92" s="76"/>
      <c r="EF92" s="76"/>
      <c r="EG92" s="80"/>
      <c r="EH92" s="86"/>
      <c r="EI92" s="76"/>
      <c r="EJ92" s="76"/>
      <c r="EK92" s="80"/>
      <c r="EL92" s="86"/>
      <c r="EM92" s="76"/>
      <c r="EN92" s="76"/>
      <c r="EO92" s="80"/>
      <c r="EP92" s="86"/>
      <c r="EQ92" s="76"/>
      <c r="ER92" s="76"/>
      <c r="ES92" s="80"/>
      <c r="ET92" s="86"/>
      <c r="EU92" s="76"/>
      <c r="EV92" s="76"/>
      <c r="EW92" s="80"/>
      <c r="EX92" s="86"/>
      <c r="EY92" s="76"/>
      <c r="EZ92" s="76"/>
      <c r="FA92" s="80"/>
      <c r="FB92" s="86"/>
      <c r="FC92" s="76"/>
      <c r="FD92" s="76"/>
      <c r="FE92" s="80"/>
      <c r="FF92" s="86"/>
      <c r="FG92" s="76"/>
      <c r="FH92" s="76"/>
      <c r="FI92" s="80"/>
      <c r="FJ92" s="86"/>
      <c r="FK92" s="76"/>
      <c r="FL92" s="76"/>
      <c r="FM92" s="80"/>
      <c r="FN92" s="86"/>
      <c r="FO92" s="76"/>
      <c r="FP92" s="76"/>
      <c r="FQ92" s="80"/>
      <c r="FR92" s="86"/>
      <c r="FS92" s="76"/>
      <c r="FT92" s="76"/>
      <c r="FU92" s="80"/>
      <c r="FV92" s="86"/>
      <c r="FW92" s="76"/>
      <c r="FX92" s="76"/>
      <c r="FY92" s="80"/>
      <c r="FZ92" s="86"/>
      <c r="GA92" s="76"/>
      <c r="GB92" s="76"/>
      <c r="GC92" s="80"/>
      <c r="GD92" s="86"/>
      <c r="GE92" s="76"/>
      <c r="GF92" s="76"/>
      <c r="GG92" s="80"/>
      <c r="GH92" s="86"/>
      <c r="GI92" s="76"/>
      <c r="GJ92" s="76"/>
      <c r="GK92" s="80"/>
      <c r="GL92" s="86"/>
      <c r="GM92" s="76"/>
      <c r="GN92" s="76"/>
      <c r="GO92" s="80"/>
      <c r="GP92" s="86"/>
      <c r="GQ92" s="76"/>
      <c r="GR92" s="76"/>
      <c r="GS92" s="80"/>
      <c r="GT92" s="86"/>
      <c r="GU92" s="76"/>
      <c r="GV92" s="76"/>
      <c r="GW92" s="80"/>
      <c r="GX92" s="86"/>
      <c r="GY92" s="76"/>
      <c r="GZ92" s="76"/>
      <c r="HA92" s="80"/>
      <c r="HB92" s="86"/>
      <c r="HC92" s="76"/>
      <c r="HD92" s="76"/>
      <c r="HE92" s="80"/>
      <c r="HF92" s="86"/>
      <c r="HG92" s="76"/>
      <c r="HH92" s="76"/>
      <c r="HI92" s="80"/>
      <c r="HJ92" s="86"/>
      <c r="HK92" s="76"/>
      <c r="HL92" s="76"/>
      <c r="HM92" s="80"/>
      <c r="HN92" s="86"/>
      <c r="HO92" s="76"/>
      <c r="HP92" s="76"/>
      <c r="HQ92" s="80"/>
      <c r="HR92" s="86"/>
      <c r="HS92" s="76"/>
      <c r="HT92" s="76"/>
      <c r="HU92" s="80"/>
      <c r="HV92" s="86"/>
      <c r="HW92" s="76"/>
      <c r="HX92" s="76"/>
      <c r="HY92" s="80"/>
      <c r="HZ92" s="86"/>
      <c r="IA92" s="76"/>
      <c r="IB92" s="76"/>
      <c r="IC92" s="80"/>
      <c r="ID92" s="86"/>
      <c r="IE92" s="76"/>
      <c r="IF92" s="76"/>
      <c r="IG92" s="80"/>
      <c r="IH92" s="86"/>
      <c r="II92" s="76"/>
      <c r="IJ92" s="76"/>
      <c r="IK92" s="80"/>
      <c r="IL92" s="86"/>
      <c r="IM92" s="76"/>
      <c r="IN92" s="76"/>
      <c r="IO92" s="80"/>
      <c r="IP92" s="86"/>
      <c r="IQ92" s="76"/>
      <c r="IR92" s="76"/>
      <c r="IS92" s="80"/>
      <c r="IT92" s="86"/>
      <c r="IU92" s="76"/>
      <c r="IV92" s="76"/>
    </row>
    <row r="93" spans="1:256" s="77" customFormat="1">
      <c r="A93" s="80"/>
      <c r="B93" s="58" t="s">
        <v>126</v>
      </c>
      <c r="C93" s="61">
        <f>ROUND(C92*(C88+C89),-1)</f>
        <v>29190</v>
      </c>
      <c r="D93" s="60" t="s">
        <v>127</v>
      </c>
      <c r="E93" s="60" t="s">
        <v>77</v>
      </c>
      <c r="F93" s="82"/>
      <c r="G93" s="76"/>
      <c r="H93" s="76"/>
      <c r="I93" s="80"/>
      <c r="J93" s="82"/>
      <c r="K93" s="76"/>
      <c r="L93" s="76"/>
      <c r="M93" s="80"/>
      <c r="N93" s="82"/>
      <c r="O93" s="76"/>
      <c r="P93" s="76"/>
      <c r="Q93" s="80"/>
      <c r="R93" s="82"/>
      <c r="S93" s="76"/>
      <c r="T93" s="76"/>
      <c r="U93" s="80"/>
      <c r="V93" s="82"/>
      <c r="W93" s="76"/>
      <c r="X93" s="76"/>
      <c r="Y93" s="80"/>
      <c r="Z93" s="82"/>
      <c r="AA93" s="76"/>
      <c r="AB93" s="76"/>
      <c r="AC93" s="80"/>
      <c r="AD93" s="82"/>
      <c r="AE93" s="76"/>
      <c r="AF93" s="76"/>
      <c r="AG93" s="80"/>
      <c r="AH93" s="82"/>
      <c r="AI93" s="76"/>
      <c r="AJ93" s="76"/>
      <c r="AK93" s="80"/>
      <c r="AL93" s="82"/>
      <c r="AM93" s="76"/>
      <c r="AN93" s="76"/>
      <c r="AO93" s="80"/>
      <c r="AP93" s="82"/>
      <c r="AQ93" s="76"/>
      <c r="AR93" s="76"/>
      <c r="AS93" s="80"/>
      <c r="AT93" s="82"/>
      <c r="AU93" s="76"/>
      <c r="AV93" s="76"/>
      <c r="AW93" s="80"/>
      <c r="AX93" s="82"/>
      <c r="AY93" s="76"/>
      <c r="AZ93" s="76"/>
      <c r="BA93" s="80"/>
      <c r="BB93" s="82"/>
      <c r="BC93" s="76"/>
      <c r="BD93" s="76"/>
      <c r="BE93" s="80"/>
      <c r="BF93" s="82"/>
      <c r="BG93" s="76"/>
      <c r="BH93" s="76"/>
      <c r="BI93" s="80"/>
      <c r="BJ93" s="82"/>
      <c r="BK93" s="76"/>
      <c r="BL93" s="76"/>
      <c r="BM93" s="80"/>
      <c r="BN93" s="82"/>
      <c r="BO93" s="76"/>
      <c r="BP93" s="76"/>
      <c r="BQ93" s="80"/>
      <c r="BR93" s="82"/>
      <c r="BS93" s="76"/>
      <c r="BT93" s="76"/>
      <c r="BU93" s="80"/>
      <c r="BV93" s="82"/>
      <c r="BW93" s="76"/>
      <c r="BX93" s="76"/>
      <c r="BY93" s="80"/>
      <c r="BZ93" s="82"/>
      <c r="CA93" s="76"/>
      <c r="CB93" s="76"/>
      <c r="CC93" s="80"/>
      <c r="CD93" s="82"/>
      <c r="CE93" s="76"/>
      <c r="CF93" s="76"/>
      <c r="CG93" s="80"/>
      <c r="CH93" s="82"/>
      <c r="CI93" s="76"/>
      <c r="CJ93" s="76"/>
      <c r="CK93" s="80"/>
      <c r="CL93" s="82"/>
      <c r="CM93" s="76"/>
      <c r="CN93" s="76"/>
      <c r="CO93" s="80"/>
      <c r="CP93" s="82"/>
      <c r="CQ93" s="76"/>
      <c r="CR93" s="76"/>
      <c r="CS93" s="80"/>
      <c r="CT93" s="82"/>
      <c r="CU93" s="76"/>
      <c r="CV93" s="76"/>
      <c r="CW93" s="80"/>
      <c r="CX93" s="82"/>
      <c r="CY93" s="76"/>
      <c r="CZ93" s="76"/>
      <c r="DA93" s="80"/>
      <c r="DB93" s="82"/>
      <c r="DC93" s="76"/>
      <c r="DD93" s="76"/>
      <c r="DE93" s="80"/>
      <c r="DF93" s="82"/>
      <c r="DG93" s="76"/>
      <c r="DH93" s="76"/>
      <c r="DI93" s="80"/>
      <c r="DJ93" s="82"/>
      <c r="DK93" s="76"/>
      <c r="DL93" s="76"/>
      <c r="DM93" s="80"/>
      <c r="DN93" s="82"/>
      <c r="DO93" s="76"/>
      <c r="DP93" s="76"/>
      <c r="DQ93" s="80"/>
      <c r="DR93" s="82"/>
      <c r="DS93" s="76"/>
      <c r="DT93" s="76"/>
      <c r="DU93" s="80"/>
      <c r="DV93" s="82"/>
      <c r="DW93" s="76"/>
      <c r="DX93" s="76"/>
      <c r="DY93" s="80"/>
      <c r="DZ93" s="82"/>
      <c r="EA93" s="76"/>
      <c r="EB93" s="76"/>
      <c r="EC93" s="80"/>
      <c r="ED93" s="82"/>
      <c r="EE93" s="76"/>
      <c r="EF93" s="76"/>
      <c r="EG93" s="80"/>
      <c r="EH93" s="82"/>
      <c r="EI93" s="76"/>
      <c r="EJ93" s="76"/>
      <c r="EK93" s="80"/>
      <c r="EL93" s="82"/>
      <c r="EM93" s="76"/>
      <c r="EN93" s="76"/>
      <c r="EO93" s="80"/>
      <c r="EP93" s="82"/>
      <c r="EQ93" s="76"/>
      <c r="ER93" s="76"/>
      <c r="ES93" s="80"/>
      <c r="ET93" s="82"/>
      <c r="EU93" s="76"/>
      <c r="EV93" s="76"/>
      <c r="EW93" s="80"/>
      <c r="EX93" s="82"/>
      <c r="EY93" s="76"/>
      <c r="EZ93" s="76"/>
      <c r="FA93" s="80"/>
      <c r="FB93" s="82"/>
      <c r="FC93" s="76"/>
      <c r="FD93" s="76"/>
      <c r="FE93" s="80"/>
      <c r="FF93" s="82"/>
      <c r="FG93" s="76"/>
      <c r="FH93" s="76"/>
      <c r="FI93" s="80"/>
      <c r="FJ93" s="82"/>
      <c r="FK93" s="76"/>
      <c r="FL93" s="76"/>
      <c r="FM93" s="80"/>
      <c r="FN93" s="82"/>
      <c r="FO93" s="76"/>
      <c r="FP93" s="76"/>
      <c r="FQ93" s="80"/>
      <c r="FR93" s="82"/>
      <c r="FS93" s="76"/>
      <c r="FT93" s="76"/>
      <c r="FU93" s="80"/>
      <c r="FV93" s="82"/>
      <c r="FW93" s="76"/>
      <c r="FX93" s="76"/>
      <c r="FY93" s="80"/>
      <c r="FZ93" s="82"/>
      <c r="GA93" s="76"/>
      <c r="GB93" s="76"/>
      <c r="GC93" s="80"/>
      <c r="GD93" s="82"/>
      <c r="GE93" s="76"/>
      <c r="GF93" s="76"/>
      <c r="GG93" s="80"/>
      <c r="GH93" s="82"/>
      <c r="GI93" s="76"/>
      <c r="GJ93" s="76"/>
      <c r="GK93" s="80"/>
      <c r="GL93" s="82"/>
      <c r="GM93" s="76"/>
      <c r="GN93" s="76"/>
      <c r="GO93" s="80"/>
      <c r="GP93" s="82"/>
      <c r="GQ93" s="76"/>
      <c r="GR93" s="76"/>
      <c r="GS93" s="80"/>
      <c r="GT93" s="82"/>
      <c r="GU93" s="76"/>
      <c r="GV93" s="76"/>
      <c r="GW93" s="80"/>
      <c r="GX93" s="82"/>
      <c r="GY93" s="76"/>
      <c r="GZ93" s="76"/>
      <c r="HA93" s="80"/>
      <c r="HB93" s="82"/>
      <c r="HC93" s="76"/>
      <c r="HD93" s="76"/>
      <c r="HE93" s="80"/>
      <c r="HF93" s="82"/>
      <c r="HG93" s="76"/>
      <c r="HH93" s="76"/>
      <c r="HI93" s="80"/>
      <c r="HJ93" s="82"/>
      <c r="HK93" s="76"/>
      <c r="HL93" s="76"/>
      <c r="HM93" s="80"/>
      <c r="HN93" s="82"/>
      <c r="HO93" s="76"/>
      <c r="HP93" s="76"/>
      <c r="HQ93" s="80"/>
      <c r="HR93" s="82"/>
      <c r="HS93" s="76"/>
      <c r="HT93" s="76"/>
      <c r="HU93" s="80"/>
      <c r="HV93" s="82"/>
      <c r="HW93" s="76"/>
      <c r="HX93" s="76"/>
      <c r="HY93" s="80"/>
      <c r="HZ93" s="82"/>
      <c r="IA93" s="76"/>
      <c r="IB93" s="76"/>
      <c r="IC93" s="80"/>
      <c r="ID93" s="82"/>
      <c r="IE93" s="76"/>
      <c r="IF93" s="76"/>
      <c r="IG93" s="80"/>
      <c r="IH93" s="82"/>
      <c r="II93" s="76"/>
      <c r="IJ93" s="76"/>
      <c r="IK93" s="80"/>
      <c r="IL93" s="82"/>
      <c r="IM93" s="76"/>
      <c r="IN93" s="76"/>
      <c r="IO93" s="80"/>
      <c r="IP93" s="82"/>
      <c r="IQ93" s="76"/>
      <c r="IR93" s="76"/>
      <c r="IS93" s="80"/>
      <c r="IT93" s="82"/>
      <c r="IU93" s="76"/>
      <c r="IV93" s="76"/>
    </row>
    <row r="94" spans="1:256">
      <c r="B94" s="87"/>
      <c r="C94" s="88"/>
      <c r="D94" s="89"/>
      <c r="E94" s="89"/>
      <c r="G94" s="64"/>
    </row>
    <row r="95" spans="1:256">
      <c r="B95" s="90" t="s">
        <v>128</v>
      </c>
      <c r="C95" s="91">
        <f>ROUND(+C77+C70+C64+C62+C85+C93,-2)</f>
        <v>4032500</v>
      </c>
      <c r="D95" s="89"/>
      <c r="E95" s="89"/>
    </row>
    <row r="96" spans="1:256">
      <c r="B96" s="90" t="s">
        <v>129</v>
      </c>
      <c r="C96" s="92">
        <f>C5/100*C17</f>
        <v>25.505616000000003</v>
      </c>
      <c r="D96" s="89"/>
      <c r="E96" s="89"/>
    </row>
    <row r="97" spans="2:5">
      <c r="B97" s="90" t="s">
        <v>130</v>
      </c>
      <c r="C97" s="92">
        <f>+C6/100*C19</f>
        <v>249.3618534</v>
      </c>
      <c r="D97" s="89"/>
      <c r="E97" s="89"/>
    </row>
    <row r="98" spans="2:5">
      <c r="B98" s="90" t="s">
        <v>131</v>
      </c>
      <c r="C98" s="93">
        <f>C95/C96</f>
        <v>158102.43516565135</v>
      </c>
      <c r="D98" s="89"/>
      <c r="E98" s="89"/>
    </row>
    <row r="99" spans="2:5">
      <c r="B99" s="94" t="s">
        <v>132</v>
      </c>
      <c r="C99" s="95">
        <f>ROUND((C95/C97), -2)</f>
        <v>16200</v>
      </c>
      <c r="D99" s="89"/>
      <c r="E99" s="89"/>
    </row>
    <row r="100" spans="2:5">
      <c r="D100" s="7"/>
      <c r="E100" s="7"/>
    </row>
    <row r="101" spans="2:5">
      <c r="D101" s="7"/>
      <c r="E101" s="7"/>
    </row>
  </sheetData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view="pageBreakPreview" zoomScaleNormal="100" zoomScaleSheetLayoutView="100" workbookViewId="0">
      <selection activeCell="E22" sqref="E22"/>
    </sheetView>
  </sheetViews>
  <sheetFormatPr defaultRowHeight="15"/>
  <cols>
    <col min="1" max="1" width="22.42578125" bestFit="1" customWidth="1"/>
    <col min="2" max="2" width="12.5703125" bestFit="1" customWidth="1"/>
    <col min="3" max="3" width="12.5703125" customWidth="1"/>
    <col min="5" max="5" width="22.42578125" bestFit="1" customWidth="1"/>
    <col min="6" max="6" width="12.5703125" bestFit="1" customWidth="1"/>
    <col min="9" max="9" width="22.42578125" bestFit="1" customWidth="1"/>
    <col min="10" max="10" width="12.5703125" bestFit="1" customWidth="1"/>
  </cols>
  <sheetData>
    <row r="1" spans="1:10">
      <c r="E1" s="116" t="s">
        <v>146</v>
      </c>
    </row>
    <row r="4" spans="1:10">
      <c r="A4" s="118" t="s">
        <v>144</v>
      </c>
      <c r="B4" s="113"/>
      <c r="C4" s="113"/>
      <c r="E4" s="118" t="s">
        <v>145</v>
      </c>
      <c r="F4" s="113"/>
      <c r="I4" s="118" t="s">
        <v>143</v>
      </c>
      <c r="J4" s="113"/>
    </row>
    <row r="5" spans="1:10">
      <c r="A5" s="114" t="s">
        <v>136</v>
      </c>
      <c r="B5" s="115">
        <f>'Boiler Cat Ox'!C15</f>
        <v>67592.272104929143</v>
      </c>
      <c r="C5" s="115"/>
      <c r="E5" s="114" t="s">
        <v>136</v>
      </c>
      <c r="F5" s="115">
        <f>'WHB Turbine Cat Ox'!C16</f>
        <v>49539.414476904181</v>
      </c>
      <c r="I5" s="114" t="s">
        <v>136</v>
      </c>
      <c r="J5" s="115">
        <f>'Reformer Cat Ox'!C15</f>
        <v>543120</v>
      </c>
    </row>
    <row r="6" spans="1:10">
      <c r="A6" s="114" t="s">
        <v>137</v>
      </c>
      <c r="B6" s="113">
        <v>7.4999999999999997E-2</v>
      </c>
      <c r="C6" s="113"/>
      <c r="E6" s="114" t="s">
        <v>137</v>
      </c>
      <c r="F6" s="113">
        <v>7.4999999999999997E-2</v>
      </c>
      <c r="I6" s="114" t="s">
        <v>137</v>
      </c>
      <c r="J6" s="113">
        <v>7.4999999999999997E-2</v>
      </c>
    </row>
    <row r="7" spans="1:10">
      <c r="A7" s="114" t="s">
        <v>138</v>
      </c>
      <c r="B7" s="115">
        <f>B5*B6*60</f>
        <v>304165.22447218117</v>
      </c>
      <c r="C7" s="115"/>
      <c r="E7" s="114" t="s">
        <v>138</v>
      </c>
      <c r="F7" s="115">
        <f>F5*F6*60</f>
        <v>222927.3651460688</v>
      </c>
      <c r="I7" s="114" t="s">
        <v>138</v>
      </c>
      <c r="J7" s="115">
        <f>J5*J6*60</f>
        <v>2444040</v>
      </c>
    </row>
    <row r="8" spans="1:10">
      <c r="A8" s="114" t="s">
        <v>139</v>
      </c>
      <c r="B8" s="117">
        <v>300</v>
      </c>
      <c r="C8" s="117"/>
      <c r="E8" s="114" t="s">
        <v>139</v>
      </c>
      <c r="F8" s="117">
        <v>290</v>
      </c>
      <c r="I8" s="114" t="s">
        <v>139</v>
      </c>
      <c r="J8" s="117">
        <v>488</v>
      </c>
    </row>
    <row r="9" spans="1:10">
      <c r="A9" s="114" t="s">
        <v>140</v>
      </c>
      <c r="B9" s="117">
        <v>500</v>
      </c>
      <c r="C9" s="117"/>
      <c r="E9" s="114" t="s">
        <v>140</v>
      </c>
      <c r="F9" s="117">
        <v>500</v>
      </c>
      <c r="I9" s="114" t="s">
        <v>140</v>
      </c>
      <c r="J9" s="117">
        <v>500</v>
      </c>
    </row>
    <row r="10" spans="1:10" ht="15.75">
      <c r="A10" s="114" t="s">
        <v>141</v>
      </c>
      <c r="B10" s="113">
        <v>0.24</v>
      </c>
      <c r="C10" s="113"/>
      <c r="E10" s="114" t="s">
        <v>141</v>
      </c>
      <c r="F10" s="113">
        <v>0.24</v>
      </c>
      <c r="I10" s="114" t="s">
        <v>141</v>
      </c>
      <c r="J10" s="113">
        <v>0.24</v>
      </c>
    </row>
    <row r="11" spans="1:10">
      <c r="A11" s="114" t="s">
        <v>142</v>
      </c>
      <c r="B11" s="115">
        <f>B7*B10*(B9-B8)</f>
        <v>14599930.774664696</v>
      </c>
      <c r="C11" s="115"/>
      <c r="E11" s="114" t="s">
        <v>142</v>
      </c>
      <c r="F11" s="115">
        <f>F7*F10*(F9-F8)</f>
        <v>11235539.203361867</v>
      </c>
      <c r="I11" s="114" t="s">
        <v>142</v>
      </c>
      <c r="J11" s="115">
        <f>J7*J10*(J9-J8)</f>
        <v>7038835.1999999993</v>
      </c>
    </row>
    <row r="13" spans="1:10">
      <c r="A13" s="119" t="s">
        <v>147</v>
      </c>
    </row>
    <row r="14" spans="1:10">
      <c r="A14" s="120" t="s">
        <v>148</v>
      </c>
    </row>
    <row r="15" spans="1:10">
      <c r="A15" s="120" t="s">
        <v>150</v>
      </c>
    </row>
    <row r="16" spans="1:10">
      <c r="A16" s="120" t="s">
        <v>149</v>
      </c>
    </row>
  </sheetData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Boiler Cat Ox</vt:lpstr>
      <vt:lpstr>WHB Turbine Cat Ox</vt:lpstr>
      <vt:lpstr>Reformer Cat Ox</vt:lpstr>
      <vt:lpstr>Fuel Usage</vt:lpstr>
    </vt:vector>
  </TitlesOfParts>
  <Company>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Krawczyk</dc:creator>
  <cp:lastModifiedBy>Jones, David</cp:lastModifiedBy>
  <dcterms:created xsi:type="dcterms:W3CDTF">2019-07-30T14:25:03Z</dcterms:created>
  <dcterms:modified xsi:type="dcterms:W3CDTF">2020-10-13T00:42:45Z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-888839573</vt:i4>
  </property>
  <property fmtid="{D5CDD505-2E9C-101B-9397-08002B2CF9AE}" pid="3" name="_NewReviewCycle">
    <vt:lpwstr/>
  </property>
  <property fmtid="{D5CDD505-2E9C-101B-9397-08002B2CF9AE}" pid="4" name="_EmailSubject">
    <vt:lpwstr>Information Request for Agrium US Inc.'s Kenai Nitrogen Operations Construction Permit Application AQ0083CPT07</vt:lpwstr>
  </property>
  <property fmtid="{D5CDD505-2E9C-101B-9397-08002B2CF9AE}" pid="5" name="_AuthorEmail">
    <vt:lpwstr>Dave.Jordan@erm.com</vt:lpwstr>
  </property>
  <property fmtid="{D5CDD505-2E9C-101B-9397-08002B2CF9AE}" pid="6" name="_AuthorEmailDisplayName">
    <vt:lpwstr>Dave Jordan</vt:lpwstr>
  </property>
  <property fmtid="{D5CDD505-2E9C-101B-9397-08002B2CF9AE}" pid="7" name="_ReviewingToolsShownOnce">
    <vt:lpwstr/>
  </property>
</Properties>
</file>