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AQ\PERMITS\AIRFACS\Agrium Nikiski (83)\Construction\AQ0083CPT07\Pre\BACT Costs\"/>
    </mc:Choice>
  </mc:AlternateContent>
  <xr:revisionPtr revIDLastSave="0" documentId="13_ncr:1_{16F40814-86CB-41C2-8E82-1CF171BAD16C}" xr6:coauthVersionLast="45" xr6:coauthVersionMax="45" xr10:uidLastSave="{00000000-0000-0000-0000-000000000000}"/>
  <bookViews>
    <workbookView xWindow="-24405" yWindow="2715" windowWidth="14835" windowHeight="7575" tabRatio="711" firstSheet="2" activeTab="3" xr2:uid="{00000000-000D-0000-FFFF-FFFF00000000}"/>
  </bookViews>
  <sheets>
    <sheet name="Aux Boiler SCR for NOX" sheetId="8" r:id="rId1"/>
    <sheet name="Reformer - Low NOx Burners" sheetId="7" r:id="rId2"/>
    <sheet name="Waste Heat Boilers Low NOx Burn" sheetId="2" r:id="rId3"/>
    <sheet name="Solar Turbine Water Injection" sheetId="3" r:id="rId4"/>
    <sheet name="ESRI_MAPINFO_SHEET" sheetId="6" state="veryHidden" r:id="rId5"/>
  </sheets>
  <externalReferences>
    <externalReference r:id="rId6"/>
  </externalReferences>
  <definedNames>
    <definedName name="_Regression_Out" hidden="1">#REF!</definedName>
    <definedName name="_Regression_X" hidden="1">#REF!</definedName>
    <definedName name="_Regression_Y" hidden="1">#REF!</definedName>
    <definedName name="CTG_CO_Limit">#REF!</definedName>
    <definedName name="CTG_NOx_Limit">#REF!</definedName>
    <definedName name="CTG_VOC_Limit">#REF!</definedName>
    <definedName name="_xlnm.Database">#REF!</definedName>
    <definedName name="DB_CO_Limit">#REF!</definedName>
    <definedName name="DB_Hours">#REF!</definedName>
    <definedName name="DB_NOx_Limit">#REF!</definedName>
    <definedName name="DB_VOC_Limit">#REF!</definedName>
    <definedName name="OXCAT_CO">#REF!</definedName>
    <definedName name="OXCAT_CO_CTG">#REF!</definedName>
    <definedName name="OXCAT_CO_DB">#REF!</definedName>
    <definedName name="OXCAT_VOC">#REF!</definedName>
    <definedName name="_xlnm.Print_Area" localSheetId="2">'Waste Heat Boilers Low NOx Burn'!$A$1:$L$96</definedName>
    <definedName name="RANGE1" localSheetId="0">#REF!</definedName>
    <definedName name="RANGE1">#REF!</definedName>
    <definedName name="RANGE2">#REF!</definedName>
    <definedName name="SCONOX">#REF!</definedName>
    <definedName name="SCR_25">#REF!</definedName>
    <definedName name="SCR_30">#REF!</definedName>
    <definedName name="SCR_35">#REF!</definedName>
    <definedName name="SCR_Incremental">#REF!</definedName>
    <definedName name="ttt" hidden="1">#REF!</definedName>
    <definedName name="xxx" hidden="1">#REF!</definedName>
    <definedName name="yyy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9" i="3" l="1"/>
  <c r="F40" i="7" l="1"/>
  <c r="F21" i="7"/>
  <c r="F94" i="7" l="1"/>
  <c r="B26" i="8" l="1"/>
  <c r="B29" i="8" s="1"/>
  <c r="B17" i="8"/>
  <c r="B81" i="8" s="1"/>
  <c r="B68" i="8"/>
  <c r="B67" i="8"/>
  <c r="C62" i="8"/>
  <c r="B62" i="8"/>
  <c r="B61" i="8"/>
  <c r="B60" i="8"/>
  <c r="B54" i="8"/>
  <c r="B53" i="8"/>
  <c r="B55" i="8" s="1"/>
  <c r="B51" i="8"/>
  <c r="B52" i="8" s="1"/>
  <c r="B20" i="8"/>
  <c r="B19" i="8"/>
  <c r="B18" i="8"/>
  <c r="B47" i="8" s="1"/>
  <c r="B48" i="8" s="1"/>
  <c r="B70" i="8"/>
  <c r="B71" i="8" s="1"/>
  <c r="B72" i="8" s="1"/>
  <c r="B63" i="8" l="1"/>
  <c r="B64" i="8" s="1"/>
  <c r="B65" i="8" s="1"/>
  <c r="B30" i="8"/>
  <c r="B58" i="8"/>
  <c r="B56" i="8"/>
  <c r="B37" i="8"/>
  <c r="B28" i="8"/>
  <c r="B74" i="8" l="1"/>
  <c r="B31" i="8"/>
  <c r="B32" i="8" s="1"/>
  <c r="B33" i="8" s="1"/>
  <c r="F24" i="7"/>
  <c r="B36" i="8" l="1"/>
  <c r="B39" i="8"/>
  <c r="F81" i="7"/>
  <c r="F74" i="7"/>
  <c r="F60" i="7"/>
  <c r="F37" i="7"/>
  <c r="F26" i="7"/>
  <c r="C7" i="7"/>
  <c r="F91" i="7" s="1"/>
  <c r="B77" i="8" l="1"/>
  <c r="B76" i="8"/>
  <c r="B75" i="8"/>
  <c r="B78" i="8"/>
  <c r="F50" i="7"/>
  <c r="F84" i="7"/>
  <c r="F86" i="7" s="1"/>
  <c r="F52" i="7"/>
  <c r="F62" i="7" s="1"/>
  <c r="F76" i="7" s="1"/>
  <c r="B79" i="8" l="1"/>
  <c r="B80" i="8" s="1"/>
  <c r="B82" i="8" s="1"/>
  <c r="F88" i="7"/>
  <c r="C8" i="2" l="1"/>
  <c r="F49" i="3" l="1"/>
  <c r="F55" i="3" l="1"/>
  <c r="F21" i="3"/>
  <c r="F89" i="2"/>
  <c r="F26" i="2"/>
  <c r="F21" i="2"/>
  <c r="F34" i="3" l="1"/>
  <c r="F35" i="3"/>
  <c r="F32" i="3"/>
  <c r="F33" i="3"/>
  <c r="F25" i="3"/>
  <c r="F31" i="3"/>
  <c r="F24" i="3"/>
  <c r="F79" i="3"/>
  <c r="F72" i="3"/>
  <c r="F58" i="3"/>
  <c r="F78" i="2"/>
  <c r="F71" i="2"/>
  <c r="F56" i="2"/>
  <c r="F37" i="3" l="1"/>
  <c r="F26" i="3"/>
  <c r="F37" i="2"/>
  <c r="F39" i="3" l="1"/>
  <c r="F82" i="3" s="1"/>
  <c r="F84" i="3" s="1"/>
  <c r="F40" i="2"/>
  <c r="F51" i="3"/>
  <c r="F60" i="3" s="1"/>
  <c r="F74" i="3" s="1"/>
  <c r="F81" i="2" l="1"/>
  <c r="F83" i="2" s="1"/>
  <c r="F50" i="2"/>
  <c r="F58" i="2" s="1"/>
  <c r="F73" i="2" s="1"/>
  <c r="F86" i="3"/>
  <c r="F93" i="3" s="1"/>
  <c r="F86" i="2" l="1"/>
  <c r="F9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 Mihalek</author>
    <author>Sameer Sane</author>
  </authors>
  <commentList>
    <comment ref="B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Matt Mihalek:</t>
        </r>
        <r>
          <rPr>
            <sz val="9"/>
            <color indexed="81"/>
            <rFont val="Tahoma"/>
            <family val="2"/>
          </rPr>
          <t xml:space="preserve">
One weeks supply assumed</t>
        </r>
      </text>
    </comment>
    <comment ref="B6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Sameer Sane:</t>
        </r>
        <r>
          <rPr>
            <sz val="9"/>
            <color indexed="81"/>
            <rFont val="Tahoma"/>
            <family val="2"/>
          </rPr>
          <t xml:space="preserve">
Based on cost from EPA CATC for a 350 mmBtu/hr NG boiler operating at 85% capacity</t>
        </r>
      </text>
    </comment>
  </commentList>
</comments>
</file>

<file path=xl/sharedStrings.xml><?xml version="1.0" encoding="utf-8"?>
<sst xmlns="http://schemas.openxmlformats.org/spreadsheetml/2006/main" count="347" uniqueCount="179">
  <si>
    <t>Source</t>
  </si>
  <si>
    <t>Rated Heat Input (MMBtu/hr)</t>
  </si>
  <si>
    <t>Baseline Emissions</t>
  </si>
  <si>
    <t>Control Efficiency</t>
  </si>
  <si>
    <t xml:space="preserve"> </t>
  </si>
  <si>
    <t>COST COMPONENT:</t>
  </si>
  <si>
    <t>COST (x $1000)</t>
  </si>
  <si>
    <t>DIRECT COSTS</t>
  </si>
  <si>
    <t>Purchased Equipment Costs (Included in TCI)</t>
  </si>
  <si>
    <t>Initial Equipment Costs</t>
  </si>
  <si>
    <t xml:space="preserve">Instrumentation </t>
  </si>
  <si>
    <t xml:space="preserve">Freight </t>
  </si>
  <si>
    <t xml:space="preserve">Taxes </t>
  </si>
  <si>
    <t>Subtotal - Purchased Equipment Costs</t>
  </si>
  <si>
    <t>Direct Installation Costs(Included in TCI)</t>
  </si>
  <si>
    <t>Foundations &amp; supports; handling &amp; erection; electrical; piping; etc. (25% of PEC)</t>
  </si>
  <si>
    <t>Site Preparation / Buildings (25% of PEC)</t>
  </si>
  <si>
    <t>Subtotal - Direct Installation Costs</t>
  </si>
  <si>
    <t>TOTAL DIRECT COSTS (TDC)</t>
  </si>
  <si>
    <t>INDIRECT INSTALLATION COSTS</t>
  </si>
  <si>
    <t>Engineering Costs (10% of Purchased Equip Costs)</t>
  </si>
  <si>
    <t>Construct. &amp; Field Expenses (5% of Purchased Equip Costs)</t>
  </si>
  <si>
    <t>Contractor Fees  (10% Purchased Equip Costs)</t>
  </si>
  <si>
    <t>Start-up and Performance Test (2% of Purchased Equip Costs)</t>
  </si>
  <si>
    <t>Contingency (3% of Purchased Equip Costs)</t>
  </si>
  <si>
    <t>TOTAL INDIRECT COSTS</t>
  </si>
  <si>
    <t>TOTAL CAPITAL INVESTMENT (TCI)</t>
  </si>
  <si>
    <t xml:space="preserve">   </t>
  </si>
  <si>
    <t>ANNUAL DIRECT COSTS</t>
  </si>
  <si>
    <t>Operation and Maintenance Labor</t>
  </si>
  <si>
    <t xml:space="preserve">Operating Labor </t>
  </si>
  <si>
    <t xml:space="preserve">O&amp;M Supervision </t>
  </si>
  <si>
    <t xml:space="preserve">Maintenance Labor and Material (2.75% of PEC) </t>
  </si>
  <si>
    <t>Subtotal - Operation and Maintenance Labor</t>
  </si>
  <si>
    <t>Utilities</t>
  </si>
  <si>
    <t>Subtotal - Utilities</t>
  </si>
  <si>
    <t>TOTAL ANNUAL DIRECT COSTS</t>
  </si>
  <si>
    <t>INDIRECT COSTS</t>
  </si>
  <si>
    <t>Overhead (not applicable)</t>
  </si>
  <si>
    <t>Property Tax (not applicable)</t>
  </si>
  <si>
    <t>Insurance (negligibIe)</t>
  </si>
  <si>
    <t>Administration (not applicable)</t>
  </si>
  <si>
    <t>TOTAL ANNUAL O&amp;M COSTS</t>
  </si>
  <si>
    <t>CAPITAL RECOVERY FACTOR</t>
  </si>
  <si>
    <t>Equipment Life (years) =</t>
  </si>
  <si>
    <t xml:space="preserve">Interest Rate (%) = </t>
  </si>
  <si>
    <t>Capital Recovery Factor</t>
  </si>
  <si>
    <t>CAPITAL RECOVERY COSTS</t>
  </si>
  <si>
    <t>TOTAL CAPITAL REQUIREMENT</t>
  </si>
  <si>
    <t>TOTAL ANNUAL CAPITAL REQUIREMENT</t>
  </si>
  <si>
    <t xml:space="preserve">TOTAL ANNUALIZED COST </t>
  </si>
  <si>
    <t>(Total annual O&amp;M cost and annualized capital cost)</t>
  </si>
  <si>
    <t>TONS OF POLLUTANT REMOVED PER YEAR (baseline * control efficiency)</t>
  </si>
  <si>
    <t>COST-EFFECTIVENESS</t>
  </si>
  <si>
    <t>ENVIRONMENTAL BASIS</t>
  </si>
  <si>
    <t>($ per ton pollutant removed)</t>
  </si>
  <si>
    <t>Waste Heat Boiler</t>
  </si>
  <si>
    <t>Solar Turbine</t>
  </si>
  <si>
    <t>Maintenance Labor and Material</t>
  </si>
  <si>
    <t>Power</t>
  </si>
  <si>
    <t>(Vendor provided in 2013 - Adjusted for 8.51% inflation)</t>
  </si>
  <si>
    <t xml:space="preserve">Baseline Emissions = </t>
  </si>
  <si>
    <t>Baseline Emissions =</t>
  </si>
  <si>
    <t>Heat Input Capacity (55.443 MMBtu/hr) * SCR Controlled Emission Rate (0.041 lb/MMBtu) * (8760 hrs/1 yr) * (1 ton/2000 lbs)</t>
  </si>
  <si>
    <t>Facility Input Data</t>
  </si>
  <si>
    <t>Item</t>
  </si>
  <si>
    <t>Value</t>
  </si>
  <si>
    <t>Economic Life, years</t>
  </si>
  <si>
    <t>Interest Rate (%)</t>
  </si>
  <si>
    <t>Source(s) Controlled</t>
  </si>
  <si>
    <t>Total Flowrate (acfm)</t>
  </si>
  <si>
    <t>Site Specific Electricity Cost ($/kWh)</t>
  </si>
  <si>
    <t>Site Specific Operating Labor Cost ($/hr)</t>
  </si>
  <si>
    <t>Site Specific Maint. Labor Cost ($/hr)</t>
  </si>
  <si>
    <t>Capital Costs</t>
  </si>
  <si>
    <t>Basis</t>
  </si>
  <si>
    <t>Direct Costs</t>
  </si>
  <si>
    <t xml:space="preserve">            Total Indirect Cost, IC</t>
  </si>
  <si>
    <t>Total Capital Investment (TCI) = DC + IC</t>
  </si>
  <si>
    <t>Annual Costs</t>
  </si>
  <si>
    <t>1) Electricity</t>
  </si>
  <si>
    <t xml:space="preserve">  Reagent Pump Requirement (kW)</t>
  </si>
  <si>
    <t>Estimate</t>
  </si>
  <si>
    <t xml:space="preserve">  Electric Power Cost ($/kWh)</t>
  </si>
  <si>
    <t xml:space="preserve">  Cost ($/yr)</t>
  </si>
  <si>
    <t xml:space="preserve">2) Operating Costs </t>
  </si>
  <si>
    <t xml:space="preserve">  Operating Labor Requirement (hr/hours of operation)</t>
  </si>
  <si>
    <t>Estimate - 1/2 hr/shift</t>
  </si>
  <si>
    <t>N/A</t>
  </si>
  <si>
    <t xml:space="preserve">  Unit Cost ($/hr)</t>
  </si>
  <si>
    <t xml:space="preserve">  Labor Cost ($/yr)</t>
  </si>
  <si>
    <t>Calculation</t>
  </si>
  <si>
    <t xml:space="preserve">Total Operating Costs </t>
  </si>
  <si>
    <t>15% Operating Labor</t>
  </si>
  <si>
    <t>OAQPS</t>
  </si>
  <si>
    <t xml:space="preserve">  Maintenance Labor Req. (hr/year)</t>
  </si>
  <si>
    <t xml:space="preserve">  Catalyst Replacement Labor Req. (hr/yr)</t>
  </si>
  <si>
    <t xml:space="preserve">  Material Cost ($/yr)</t>
  </si>
  <si>
    <t>100% of Maintenance Labor</t>
  </si>
  <si>
    <t xml:space="preserve">  Total Cost ($/yr)</t>
  </si>
  <si>
    <t xml:space="preserve">  Catalyst Cost ($)</t>
  </si>
  <si>
    <t xml:space="preserve">  Sales Tax ($)</t>
  </si>
  <si>
    <t>0% Sales Tax</t>
  </si>
  <si>
    <t xml:space="preserve">  Catalyst Life (yrs)</t>
  </si>
  <si>
    <t xml:space="preserve">  Interest Rate (%)</t>
  </si>
  <si>
    <t>i</t>
  </si>
  <si>
    <t xml:space="preserve">  Annual Cost ($/yr)</t>
  </si>
  <si>
    <t>(Volume)(Unit Cost)(CRF)</t>
  </si>
  <si>
    <t xml:space="preserve">  Overhead</t>
  </si>
  <si>
    <t>60% of O&amp;M Costs</t>
  </si>
  <si>
    <t xml:space="preserve">  Administration</t>
  </si>
  <si>
    <t>2% of Total Capital Investment</t>
  </si>
  <si>
    <t xml:space="preserve">  Property Tax</t>
  </si>
  <si>
    <t>1% of Total Capital Investment</t>
  </si>
  <si>
    <t xml:space="preserve">  Insurance</t>
  </si>
  <si>
    <t xml:space="preserve">  Capital Recovery</t>
  </si>
  <si>
    <t>20 yr life; 7% interest (-cat. cost)</t>
  </si>
  <si>
    <t>Total Indirect ($/yr)</t>
  </si>
  <si>
    <t>Total Annualized Cost ($/yr)</t>
  </si>
  <si>
    <t>KNO Restart</t>
  </si>
  <si>
    <t>Appendix B</t>
  </si>
  <si>
    <t>Low NOx Burners for Waste Heat Boilers</t>
  </si>
  <si>
    <t>Water injection for NOx control on Solar Turbines</t>
  </si>
  <si>
    <r>
      <t>Heat Input Capacity (46.729 MMBtu/hr) * AP-42 CO Ef. Sm. Boiler (100 lb/10</t>
    </r>
    <r>
      <rPr>
        <vertAlign val="superscript"/>
        <sz val="10"/>
        <rFont val="Arial"/>
        <family val="2"/>
      </rPr>
      <t xml:space="preserve">6 </t>
    </r>
    <r>
      <rPr>
        <sz val="10"/>
        <rFont val="Arial"/>
        <family val="2"/>
      </rPr>
      <t>scf) * (1 MMBtu/ 1,020 scf) * (8760 hrs/1 yr) * (1 ton/2000 lbs)</t>
    </r>
  </si>
  <si>
    <t>Cost Effectiveness Calculation for Low NOx Burners for Reformer</t>
  </si>
  <si>
    <t>Unit 12 - Reformer</t>
  </si>
  <si>
    <t>(Maximum additional reduction achievable)</t>
  </si>
  <si>
    <t>Initial Equipment Costs/Engineering</t>
  </si>
  <si>
    <t>(vendor supplied value)</t>
  </si>
  <si>
    <t>Labor and Installation</t>
  </si>
  <si>
    <t>Adjusted for inflation at 8.51% from 2013</t>
  </si>
  <si>
    <t>Appendix C</t>
  </si>
  <si>
    <t>SCR NOx Control</t>
  </si>
  <si>
    <t>Startup Heater</t>
  </si>
  <si>
    <t>Control Efficiency (%)</t>
  </si>
  <si>
    <t>Total Hours per year (potential)</t>
  </si>
  <si>
    <t>NOX Emission Rate (lb/hr)</t>
  </si>
  <si>
    <t>NOX Emissions (tpy)</t>
  </si>
  <si>
    <t>1.) Total Direct Cost, DC</t>
  </si>
  <si>
    <t>A (OAQPS)</t>
  </si>
  <si>
    <t>Indirect Installation Cost</t>
  </si>
  <si>
    <t>2.) General Facilities ($)</t>
  </si>
  <si>
    <t>0.05*C</t>
  </si>
  <si>
    <t>3.) Engineering and Home Office Fees</t>
  </si>
  <si>
    <t>0.10*C</t>
  </si>
  <si>
    <t>4.) Process Contingency ($)</t>
  </si>
  <si>
    <t>B = A * (0.05+0.10+0.05)</t>
  </si>
  <si>
    <t>5.) Project Contingency ($)</t>
  </si>
  <si>
    <t>C = (A+B)*0.15</t>
  </si>
  <si>
    <t xml:space="preserve">            Total Plant Cost ($)</t>
  </si>
  <si>
    <t>D = A+B+C</t>
  </si>
  <si>
    <t>6.) Allowance for Funds During Construction ($)</t>
  </si>
  <si>
    <t>E = 0 (Assumed for SCR)</t>
  </si>
  <si>
    <t>7.) Royalty Allowance ($)</t>
  </si>
  <si>
    <t>F = 0 (Assumed for SCR)</t>
  </si>
  <si>
    <t>8.) Preproduction Cost ($)</t>
  </si>
  <si>
    <t>G = 0.02*(F+G)</t>
  </si>
  <si>
    <t>9.) Inventory Capital* ($)</t>
  </si>
  <si>
    <r>
      <t>H = Vol</t>
    </r>
    <r>
      <rPr>
        <vertAlign val="subscript"/>
        <sz val="8"/>
        <rFont val="Arial MT"/>
      </rPr>
      <t>reagent</t>
    </r>
    <r>
      <rPr>
        <sz val="8"/>
        <rFont val="Arial MT"/>
        <family val="2"/>
      </rPr>
      <t xml:space="preserve"> (gal) * Cost</t>
    </r>
    <r>
      <rPr>
        <vertAlign val="subscript"/>
        <sz val="8"/>
        <rFont val="Arial MT"/>
      </rPr>
      <t xml:space="preserve">reagent </t>
    </r>
    <r>
      <rPr>
        <sz val="8"/>
        <rFont val="Arial MT"/>
        <family val="2"/>
      </rPr>
      <t>($/gal)</t>
    </r>
  </si>
  <si>
    <t>10.) Initial Catalyst and Chemicals ($)</t>
  </si>
  <si>
    <t>I = 0 (assumed for SCR)</t>
  </si>
  <si>
    <t>TCI = D+E+F+G+H+I</t>
  </si>
  <si>
    <t>*Cost for ammonia stored at site, i.e., the first fill of the reagent tanks</t>
  </si>
  <si>
    <t xml:space="preserve">3) Ammonia Costs ($/ton) </t>
  </si>
  <si>
    <t>50% of US Geological Survey Price</t>
  </si>
  <si>
    <t>USGS</t>
  </si>
  <si>
    <t xml:space="preserve">  Annual requirement (Lbs/year) </t>
  </si>
  <si>
    <t>EPA Clean Air Technology Center</t>
  </si>
  <si>
    <t xml:space="preserve"> Total Ammonia Costs ($/year)</t>
  </si>
  <si>
    <t>4) Supervisory Labor</t>
  </si>
  <si>
    <t>5) Maintenance</t>
  </si>
  <si>
    <t>Estimate - 1/2 hr/day</t>
  </si>
  <si>
    <t>Estimate - 8 men for 160 hours every 10 yrs</t>
  </si>
  <si>
    <t>6) Catalyst Replacement</t>
  </si>
  <si>
    <t xml:space="preserve">  CRF</t>
  </si>
  <si>
    <t>Ammortization of Catalyst</t>
  </si>
  <si>
    <t>7) Indirect Annual Costs</t>
  </si>
  <si>
    <t>Total Controlled (tpy)</t>
  </si>
  <si>
    <t>Cost Effectiveness ($/ton)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</si>
</sst>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0"/>
    <numFmt numFmtId="166" formatCode="&quot;$&quot;#,##0"/>
    <numFmt numFmtId="167" formatCode="0.000"/>
    <numFmt numFmtId="168" formatCode="&quot;$&quot;#,##0.00"/>
    <numFmt numFmtId="169" formatCode="_(* #,##0_);_(* \(#,##0\);_(* &quot;-&quot;??_);_(@_)"/>
    <numFmt numFmtId="170" formatCode="#,##0.0"/>
    <numFmt numFmtId="171" formatCode="#,##0.0000"/>
    <numFmt numFmtId="172" formatCode="0.00_)"/>
    <numFmt numFmtId="173" formatCode="0.0_)"/>
  </numFmts>
  <fonts count="42">
    <font>
      <sz val="10"/>
      <name val="Arial"/>
    </font>
    <font>
      <sz val="10"/>
      <name val="Tms Rmn"/>
    </font>
    <font>
      <sz val="10"/>
      <name val="Arial"/>
      <family val="2"/>
    </font>
    <font>
      <sz val="10"/>
      <name val="Arial MT"/>
    </font>
    <font>
      <b/>
      <sz val="11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Palatino"/>
      <family val="1"/>
    </font>
    <font>
      <sz val="10"/>
      <name val="Palatino"/>
      <family val="1"/>
    </font>
    <font>
      <sz val="10"/>
      <name val="Palatino"/>
    </font>
    <font>
      <i/>
      <sz val="12"/>
      <name val="Palatino"/>
    </font>
    <font>
      <b/>
      <i/>
      <sz val="12"/>
      <name val="Palatino"/>
      <family val="1"/>
    </font>
    <font>
      <b/>
      <i/>
      <sz val="10"/>
      <name val="Palatino"/>
      <family val="1"/>
    </font>
    <font>
      <sz val="12"/>
      <name val="Palatino"/>
    </font>
    <font>
      <i/>
      <sz val="10"/>
      <name val="Palatino"/>
      <family val="1"/>
    </font>
    <font>
      <b/>
      <i/>
      <sz val="10"/>
      <name val="Palatino"/>
    </font>
    <font>
      <b/>
      <sz val="10"/>
      <name val="Palatino"/>
    </font>
    <font>
      <b/>
      <sz val="12"/>
      <name val="Palatino"/>
      <family val="1"/>
    </font>
    <font>
      <sz val="10"/>
      <color indexed="10"/>
      <name val="Palatino"/>
      <family val="1"/>
    </font>
    <font>
      <vertAlign val="superscript"/>
      <sz val="9"/>
      <name val="Palatino"/>
      <family val="1"/>
    </font>
    <font>
      <sz val="10"/>
      <color rgb="FFFF0000"/>
      <name val="Palatino"/>
    </font>
    <font>
      <b/>
      <sz val="14"/>
      <name val="Arial MT"/>
      <family val="2"/>
    </font>
    <font>
      <sz val="10"/>
      <name val="Arial MT"/>
      <family val="2"/>
    </font>
    <font>
      <b/>
      <u/>
      <sz val="14"/>
      <name val="Arial MT"/>
      <family val="2"/>
    </font>
    <font>
      <b/>
      <sz val="12"/>
      <name val="Arial MT"/>
      <family val="2"/>
    </font>
    <font>
      <sz val="14"/>
      <name val="Arial MT"/>
      <family val="2"/>
    </font>
    <font>
      <sz val="8"/>
      <name val="Arial MT"/>
      <family val="2"/>
    </font>
    <font>
      <b/>
      <sz val="8"/>
      <name val="Arial MT"/>
      <family val="2"/>
    </font>
    <font>
      <sz val="8"/>
      <name val="Arial MT"/>
    </font>
    <font>
      <vertAlign val="subscript"/>
      <sz val="8"/>
      <name val="Arial MT"/>
    </font>
    <font>
      <b/>
      <sz val="6"/>
      <name val="Arial MT"/>
      <family val="2"/>
    </font>
    <font>
      <b/>
      <sz val="10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8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291">
    <xf numFmtId="0" fontId="0" fillId="0" borderId="0" xfId="0"/>
    <xf numFmtId="0" fontId="4" fillId="0" borderId="0" xfId="5" applyFont="1" applyFill="1" applyAlignment="1" applyProtection="1">
      <alignment horizontal="center"/>
    </xf>
    <xf numFmtId="0" fontId="5" fillId="0" borderId="0" xfId="5" applyFont="1" applyAlignment="1" applyProtection="1">
      <alignment horizontal="center"/>
    </xf>
    <xf numFmtId="0" fontId="2" fillId="0" borderId="0" xfId="1" applyFont="1"/>
    <xf numFmtId="2" fontId="2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9" fillId="0" borderId="0" xfId="1" applyFont="1" applyAlignment="1">
      <alignment horizontal="center"/>
    </xf>
    <xf numFmtId="0" fontId="10" fillId="0" borderId="0" xfId="1" applyFont="1"/>
    <xf numFmtId="167" fontId="2" fillId="0" borderId="0" xfId="1" applyNumberFormat="1" applyFont="1" applyFill="1" applyAlignment="1">
      <alignment horizontal="left"/>
    </xf>
    <xf numFmtId="164" fontId="2" fillId="0" borderId="0" xfId="1" applyNumberFormat="1" applyFont="1" applyFill="1" applyAlignment="1">
      <alignment horizontal="left"/>
    </xf>
    <xf numFmtId="0" fontId="2" fillId="0" borderId="0" xfId="1" quotePrefix="1" applyFont="1" applyAlignment="1">
      <alignment horizontal="left"/>
    </xf>
    <xf numFmtId="10" fontId="2" fillId="0" borderId="0" xfId="1" applyNumberFormat="1" applyFont="1" applyAlignment="1">
      <alignment horizontal="left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2" fontId="2" fillId="0" borderId="0" xfId="1" applyNumberFormat="1" applyFont="1" applyBorder="1" applyAlignment="1">
      <alignment horizontal="center"/>
    </xf>
    <xf numFmtId="0" fontId="2" fillId="0" borderId="1" xfId="1" applyFont="1" applyBorder="1"/>
    <xf numFmtId="0" fontId="2" fillId="0" borderId="2" xfId="1" applyFont="1" applyBorder="1"/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0" fontId="2" fillId="0" borderId="4" xfId="1" applyFont="1" applyBorder="1"/>
    <xf numFmtId="0" fontId="2" fillId="0" borderId="0" xfId="1" applyFont="1" applyBorder="1"/>
    <xf numFmtId="0" fontId="7" fillId="0" borderId="0" xfId="1" applyFont="1" applyBorder="1"/>
    <xf numFmtId="0" fontId="7" fillId="0" borderId="5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2" fontId="7" fillId="0" borderId="0" xfId="1" applyNumberFormat="1" applyFont="1" applyBorder="1" applyAlignment="1">
      <alignment horizontal="center"/>
    </xf>
    <xf numFmtId="0" fontId="2" fillId="0" borderId="5" xfId="1" applyFont="1" applyBorder="1"/>
    <xf numFmtId="0" fontId="11" fillId="0" borderId="4" xfId="1" applyFont="1" applyBorder="1"/>
    <xf numFmtId="0" fontId="11" fillId="0" borderId="0" xfId="1" applyFont="1" applyBorder="1"/>
    <xf numFmtId="2" fontId="2" fillId="0" borderId="0" xfId="1" applyNumberFormat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10" fillId="0" borderId="0" xfId="1" applyFont="1" applyBorder="1"/>
    <xf numFmtId="0" fontId="7" fillId="0" borderId="5" xfId="1" applyFont="1" applyBorder="1"/>
    <xf numFmtId="0" fontId="2" fillId="0" borderId="0" xfId="1" quotePrefix="1" applyFont="1"/>
    <xf numFmtId="0" fontId="2" fillId="0" borderId="0" xfId="1" applyFont="1" applyBorder="1" applyAlignment="1">
      <alignment wrapText="1"/>
    </xf>
    <xf numFmtId="0" fontId="6" fillId="0" borderId="9" xfId="1" applyFont="1" applyBorder="1"/>
    <xf numFmtId="0" fontId="6" fillId="0" borderId="10" xfId="1" applyFont="1" applyBorder="1"/>
    <xf numFmtId="0" fontId="2" fillId="0" borderId="10" xfId="1" applyFont="1" applyBorder="1"/>
    <xf numFmtId="0" fontId="2" fillId="0" borderId="11" xfId="1" applyFont="1" applyBorder="1"/>
    <xf numFmtId="2" fontId="7" fillId="0" borderId="10" xfId="1" applyNumberFormat="1" applyFont="1" applyBorder="1" applyAlignment="1">
      <alignment horizontal="center"/>
    </xf>
    <xf numFmtId="0" fontId="2" fillId="0" borderId="3" xfId="1" applyFont="1" applyBorder="1"/>
    <xf numFmtId="0" fontId="7" fillId="0" borderId="4" xfId="1" applyFont="1" applyBorder="1"/>
    <xf numFmtId="0" fontId="2" fillId="0" borderId="5" xfId="1" applyFont="1" applyBorder="1" applyAlignment="1">
      <alignment horizontal="center"/>
    </xf>
    <xf numFmtId="0" fontId="12" fillId="0" borderId="4" xfId="1" applyFont="1" applyFill="1" applyBorder="1"/>
    <xf numFmtId="0" fontId="12" fillId="0" borderId="0" xfId="1" applyFont="1" applyFill="1" applyBorder="1"/>
    <xf numFmtId="0" fontId="2" fillId="0" borderId="0" xfId="1" applyFont="1" applyFill="1" applyBorder="1"/>
    <xf numFmtId="0" fontId="2" fillId="0" borderId="4" xfId="1" applyFont="1" applyFill="1" applyBorder="1"/>
    <xf numFmtId="0" fontId="12" fillId="0" borderId="5" xfId="1" applyFont="1" applyFill="1" applyBorder="1" applyAlignment="1">
      <alignment horizontal="center"/>
    </xf>
    <xf numFmtId="0" fontId="12" fillId="0" borderId="0" xfId="1" applyFont="1" applyFill="1"/>
    <xf numFmtId="2" fontId="2" fillId="0" borderId="7" xfId="1" applyNumberFormat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0" xfId="1" applyFont="1" applyFill="1"/>
    <xf numFmtId="0" fontId="2" fillId="0" borderId="5" xfId="1" applyFont="1" applyFill="1" applyBorder="1"/>
    <xf numFmtId="0" fontId="2" fillId="0" borderId="0" xfId="1" applyFont="1" applyFill="1" applyAlignment="1">
      <alignment horizontal="center"/>
    </xf>
    <xf numFmtId="0" fontId="10" fillId="0" borderId="0" xfId="1" applyFont="1" applyFill="1" applyBorder="1"/>
    <xf numFmtId="0" fontId="7" fillId="0" borderId="0" xfId="1" applyFont="1" applyFill="1" applyBorder="1"/>
    <xf numFmtId="3" fontId="7" fillId="0" borderId="0" xfId="1" applyNumberFormat="1" applyFont="1" applyFill="1" applyBorder="1"/>
    <xf numFmtId="0" fontId="7" fillId="0" borderId="4" xfId="1" applyFont="1" applyFill="1" applyBorder="1"/>
    <xf numFmtId="2" fontId="7" fillId="0" borderId="0" xfId="1" applyNumberFormat="1" applyFont="1" applyFill="1" applyBorder="1" applyAlignment="1">
      <alignment horizontal="center"/>
    </xf>
    <xf numFmtId="0" fontId="11" fillId="0" borderId="0" xfId="1" applyFont="1" applyFill="1" applyBorder="1"/>
    <xf numFmtId="3" fontId="7" fillId="0" borderId="0" xfId="1" applyNumberFormat="1" applyFont="1" applyBorder="1"/>
    <xf numFmtId="3" fontId="2" fillId="0" borderId="10" xfId="1" applyNumberFormat="1" applyFont="1" applyBorder="1"/>
    <xf numFmtId="0" fontId="2" fillId="0" borderId="9" xfId="1" applyFont="1" applyBorder="1"/>
    <xf numFmtId="0" fontId="2" fillId="0" borderId="11" xfId="1" applyFont="1" applyBorder="1" applyAlignment="1">
      <alignment horizontal="center"/>
    </xf>
    <xf numFmtId="0" fontId="13" fillId="0" borderId="0" xfId="1" applyFont="1"/>
    <xf numFmtId="2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2" fontId="7" fillId="0" borderId="7" xfId="1" applyNumberFormat="1" applyFont="1" applyBorder="1" applyAlignment="1">
      <alignment horizontal="center"/>
    </xf>
    <xf numFmtId="0" fontId="2" fillId="0" borderId="8" xfId="1" applyFont="1" applyBorder="1"/>
    <xf numFmtId="0" fontId="2" fillId="0" borderId="3" xfId="1" applyFont="1" applyBorder="1" applyAlignment="1">
      <alignment horizontal="center"/>
    </xf>
    <xf numFmtId="0" fontId="10" fillId="0" borderId="4" xfId="1" applyFont="1" applyBorder="1"/>
    <xf numFmtId="0" fontId="2" fillId="0" borderId="0" xfId="1" applyFon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0" fontId="11" fillId="0" borderId="12" xfId="1" applyFont="1" applyBorder="1"/>
    <xf numFmtId="0" fontId="2" fillId="0" borderId="13" xfId="1" applyFont="1" applyBorder="1"/>
    <xf numFmtId="0" fontId="2" fillId="0" borderId="14" xfId="1" applyFont="1" applyBorder="1"/>
    <xf numFmtId="2" fontId="2" fillId="0" borderId="13" xfId="1" applyNumberFormat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10" fillId="0" borderId="4" xfId="1" applyFont="1" applyFill="1" applyBorder="1"/>
    <xf numFmtId="0" fontId="12" fillId="0" borderId="5" xfId="1" applyFont="1" applyFill="1" applyBorder="1"/>
    <xf numFmtId="0" fontId="10" fillId="0" borderId="12" xfId="1" applyFont="1" applyBorder="1"/>
    <xf numFmtId="2" fontId="7" fillId="0" borderId="13" xfId="1" applyNumberFormat="1" applyFont="1" applyBorder="1" applyAlignment="1">
      <alignment horizontal="center"/>
    </xf>
    <xf numFmtId="0" fontId="10" fillId="0" borderId="16" xfId="1" applyFont="1" applyBorder="1"/>
    <xf numFmtId="0" fontId="2" fillId="0" borderId="15" xfId="1" applyFont="1" applyBorder="1"/>
    <xf numFmtId="0" fontId="7" fillId="0" borderId="15" xfId="1" applyFont="1" applyBorder="1"/>
    <xf numFmtId="0" fontId="7" fillId="0" borderId="17" xfId="1" applyFont="1" applyBorder="1"/>
    <xf numFmtId="166" fontId="7" fillId="0" borderId="15" xfId="1" applyNumberFormat="1" applyFont="1" applyBorder="1" applyAlignment="1">
      <alignment horizontal="center"/>
    </xf>
    <xf numFmtId="0" fontId="2" fillId="0" borderId="0" xfId="1" quotePrefix="1" applyFont="1" applyFill="1" applyAlignment="1">
      <alignment horizontal="left"/>
    </xf>
    <xf numFmtId="2" fontId="2" fillId="0" borderId="0" xfId="1" applyNumberFormat="1" applyFont="1" applyFill="1" applyAlignment="1">
      <alignment horizontal="left"/>
    </xf>
    <xf numFmtId="0" fontId="10" fillId="0" borderId="15" xfId="1" applyFont="1" applyBorder="1"/>
    <xf numFmtId="0" fontId="10" fillId="0" borderId="15" xfId="1" applyFont="1" applyBorder="1" applyAlignment="1">
      <alignment horizontal="left"/>
    </xf>
    <xf numFmtId="0" fontId="2" fillId="0" borderId="15" xfId="1" applyFont="1" applyBorder="1" applyAlignment="1">
      <alignment horizontal="center"/>
    </xf>
    <xf numFmtId="2" fontId="2" fillId="0" borderId="15" xfId="1" applyNumberFormat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1" fillId="0" borderId="16" xfId="1" applyFont="1" applyBorder="1"/>
    <xf numFmtId="0" fontId="2" fillId="0" borderId="17" xfId="1" applyFont="1" applyBorder="1"/>
    <xf numFmtId="0" fontId="2" fillId="0" borderId="17" xfId="1" applyFont="1" applyBorder="1" applyAlignment="1">
      <alignment horizontal="center"/>
    </xf>
    <xf numFmtId="0" fontId="17" fillId="0" borderId="0" xfId="1" applyFont="1"/>
    <xf numFmtId="0" fontId="18" fillId="0" borderId="0" xfId="1" applyFont="1"/>
    <xf numFmtId="2" fontId="18" fillId="0" borderId="0" xfId="1" applyNumberFormat="1" applyFont="1" applyAlignment="1">
      <alignment horizontal="center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center"/>
    </xf>
    <xf numFmtId="0" fontId="17" fillId="0" borderId="0" xfId="7" applyFont="1" applyFill="1" applyBorder="1" applyAlignment="1">
      <alignment horizontal="left" wrapText="1"/>
    </xf>
    <xf numFmtId="0" fontId="21" fillId="0" borderId="0" xfId="1" applyFont="1" applyAlignment="1">
      <alignment horizontal="center"/>
    </xf>
    <xf numFmtId="0" fontId="22" fillId="0" borderId="0" xfId="1" applyFont="1"/>
    <xf numFmtId="164" fontId="19" fillId="0" borderId="0" xfId="1" applyNumberFormat="1" applyFont="1" applyAlignment="1">
      <alignment horizontal="left"/>
    </xf>
    <xf numFmtId="10" fontId="19" fillId="0" borderId="0" xfId="1" applyNumberFormat="1" applyFont="1" applyAlignment="1">
      <alignment horizontal="left"/>
    </xf>
    <xf numFmtId="0" fontId="23" fillId="0" borderId="0" xfId="1" applyFont="1" applyAlignment="1">
      <alignment horizontal="left"/>
    </xf>
    <xf numFmtId="0" fontId="22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2" fontId="18" fillId="0" borderId="0" xfId="1" applyNumberFormat="1" applyFont="1" applyBorder="1" applyAlignment="1">
      <alignment horizontal="center"/>
    </xf>
    <xf numFmtId="0" fontId="18" fillId="0" borderId="1" xfId="1" applyFont="1" applyBorder="1"/>
    <xf numFmtId="0" fontId="18" fillId="0" borderId="2" xfId="1" applyFont="1" applyBorder="1"/>
    <xf numFmtId="0" fontId="17" fillId="0" borderId="2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2" fontId="17" fillId="0" borderId="2" xfId="1" applyNumberFormat="1" applyFont="1" applyBorder="1" applyAlignment="1">
      <alignment horizontal="center"/>
    </xf>
    <xf numFmtId="0" fontId="18" fillId="0" borderId="4" xfId="1" applyFont="1" applyBorder="1"/>
    <xf numFmtId="0" fontId="18" fillId="0" borderId="0" xfId="1" applyFont="1" applyBorder="1"/>
    <xf numFmtId="0" fontId="17" fillId="0" borderId="0" xfId="1" applyFont="1" applyBorder="1"/>
    <xf numFmtId="0" fontId="17" fillId="0" borderId="5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2" fontId="17" fillId="0" borderId="0" xfId="1" applyNumberFormat="1" applyFont="1" applyBorder="1" applyAlignment="1">
      <alignment horizontal="center"/>
    </xf>
    <xf numFmtId="0" fontId="18" fillId="0" borderId="6" xfId="1" applyFont="1" applyBorder="1"/>
    <xf numFmtId="0" fontId="18" fillId="0" borderId="7" xfId="1" applyFont="1" applyBorder="1"/>
    <xf numFmtId="0" fontId="17" fillId="0" borderId="7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2" fontId="17" fillId="0" borderId="7" xfId="1" applyNumberFormat="1" applyFont="1" applyBorder="1" applyAlignment="1">
      <alignment horizontal="center"/>
    </xf>
    <xf numFmtId="0" fontId="18" fillId="0" borderId="8" xfId="1" applyFont="1" applyBorder="1"/>
    <xf numFmtId="0" fontId="18" fillId="0" borderId="5" xfId="1" applyFont="1" applyBorder="1"/>
    <xf numFmtId="0" fontId="24" fillId="0" borderId="4" xfId="1" applyFont="1" applyBorder="1"/>
    <xf numFmtId="0" fontId="24" fillId="0" borderId="0" xfId="1" applyFont="1" applyBorder="1"/>
    <xf numFmtId="2" fontId="18" fillId="0" borderId="0" xfId="1" applyNumberFormat="1" applyFont="1" applyFill="1" applyBorder="1" applyAlignment="1">
      <alignment horizontal="center"/>
    </xf>
    <xf numFmtId="2" fontId="18" fillId="0" borderId="7" xfId="1" applyNumberFormat="1" applyFont="1" applyBorder="1" applyAlignment="1">
      <alignment horizontal="center"/>
    </xf>
    <xf numFmtId="0" fontId="25" fillId="0" borderId="0" xfId="1" applyFont="1" applyBorder="1"/>
    <xf numFmtId="0" fontId="26" fillId="0" borderId="5" xfId="1" applyFont="1" applyBorder="1"/>
    <xf numFmtId="0" fontId="26" fillId="0" borderId="0" xfId="1" applyFont="1" applyBorder="1"/>
    <xf numFmtId="2" fontId="26" fillId="0" borderId="0" xfId="1" applyNumberFormat="1" applyFont="1" applyBorder="1" applyAlignment="1">
      <alignment horizontal="center"/>
    </xf>
    <xf numFmtId="0" fontId="18" fillId="0" borderId="0" xfId="1" applyFont="1" applyBorder="1" applyAlignment="1">
      <alignment wrapText="1"/>
    </xf>
    <xf numFmtId="0" fontId="27" fillId="0" borderId="9" xfId="1" applyFont="1" applyBorder="1"/>
    <xf numFmtId="0" fontId="27" fillId="0" borderId="10" xfId="1" applyFont="1" applyBorder="1"/>
    <xf numFmtId="0" fontId="18" fillId="0" borderId="10" xfId="1" applyFont="1" applyBorder="1"/>
    <xf numFmtId="0" fontId="18" fillId="0" borderId="11" xfId="1" applyFont="1" applyBorder="1"/>
    <xf numFmtId="2" fontId="17" fillId="0" borderId="10" xfId="1" applyNumberFormat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8" fillId="0" borderId="3" xfId="1" applyFont="1" applyBorder="1"/>
    <xf numFmtId="0" fontId="17" fillId="0" borderId="4" xfId="1" applyFont="1" applyBorder="1"/>
    <xf numFmtId="0" fontId="18" fillId="0" borderId="5" xfId="1" applyFont="1" applyBorder="1" applyAlignment="1">
      <alignment horizontal="center"/>
    </xf>
    <xf numFmtId="0" fontId="28" fillId="0" borderId="4" xfId="1" applyFont="1" applyFill="1" applyBorder="1"/>
    <xf numFmtId="0" fontId="28" fillId="0" borderId="0" xfId="1" applyFont="1" applyFill="1" applyBorder="1"/>
    <xf numFmtId="0" fontId="18" fillId="0" borderId="0" xfId="1" applyFont="1" applyFill="1" applyBorder="1"/>
    <xf numFmtId="0" fontId="18" fillId="0" borderId="4" xfId="1" applyFont="1" applyFill="1" applyBorder="1"/>
    <xf numFmtId="0" fontId="28" fillId="0" borderId="5" xfId="1" applyFont="1" applyFill="1" applyBorder="1" applyAlignment="1">
      <alignment horizontal="center"/>
    </xf>
    <xf numFmtId="0" fontId="28" fillId="0" borderId="0" xfId="1" applyFont="1" applyFill="1"/>
    <xf numFmtId="2" fontId="18" fillId="0" borderId="7" xfId="1" applyNumberFormat="1" applyFont="1" applyFill="1" applyBorder="1" applyAlignment="1">
      <alignment horizontal="center"/>
    </xf>
    <xf numFmtId="0" fontId="18" fillId="0" borderId="5" xfId="1" applyFont="1" applyFill="1" applyBorder="1" applyAlignment="1">
      <alignment horizontal="center"/>
    </xf>
    <xf numFmtId="0" fontId="18" fillId="0" borderId="0" xfId="1" applyFont="1" applyFill="1"/>
    <xf numFmtId="0" fontId="18" fillId="0" borderId="5" xfId="1" applyFont="1" applyFill="1" applyBorder="1"/>
    <xf numFmtId="0" fontId="18" fillId="0" borderId="0" xfId="1" applyFont="1" applyFill="1" applyAlignment="1">
      <alignment horizontal="center"/>
    </xf>
    <xf numFmtId="0" fontId="22" fillId="0" borderId="0" xfId="1" applyFont="1" applyFill="1" applyBorder="1"/>
    <xf numFmtId="0" fontId="17" fillId="0" borderId="0" xfId="1" applyFont="1" applyFill="1" applyBorder="1"/>
    <xf numFmtId="3" fontId="17" fillId="0" borderId="0" xfId="1" applyNumberFormat="1" applyFont="1" applyFill="1" applyBorder="1"/>
    <xf numFmtId="0" fontId="17" fillId="0" borderId="4" xfId="1" applyFont="1" applyFill="1" applyBorder="1"/>
    <xf numFmtId="2" fontId="17" fillId="0" borderId="0" xfId="1" applyNumberFormat="1" applyFont="1" applyFill="1" applyBorder="1" applyAlignment="1">
      <alignment horizontal="center"/>
    </xf>
    <xf numFmtId="0" fontId="24" fillId="0" borderId="0" xfId="1" applyFont="1" applyFill="1" applyBorder="1"/>
    <xf numFmtId="0" fontId="22" fillId="0" borderId="0" xfId="1" applyFont="1" applyBorder="1"/>
    <xf numFmtId="3" fontId="17" fillId="0" borderId="0" xfId="1" applyNumberFormat="1" applyFont="1" applyBorder="1"/>
    <xf numFmtId="3" fontId="18" fillId="0" borderId="10" xfId="1" applyNumberFormat="1" applyFont="1" applyBorder="1"/>
    <xf numFmtId="0" fontId="18" fillId="0" borderId="9" xfId="1" applyFont="1" applyBorder="1"/>
    <xf numFmtId="0" fontId="18" fillId="0" borderId="11" xfId="1" applyFont="1" applyBorder="1" applyAlignment="1">
      <alignment horizontal="center"/>
    </xf>
    <xf numFmtId="0" fontId="29" fillId="0" borderId="0" xfId="1" applyFont="1"/>
    <xf numFmtId="2" fontId="18" fillId="0" borderId="2" xfId="1" applyNumberFormat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22" fillId="0" borderId="4" xfId="1" applyFont="1" applyBorder="1"/>
    <xf numFmtId="0" fontId="17" fillId="0" borderId="5" xfId="1" applyFont="1" applyBorder="1"/>
    <xf numFmtId="0" fontId="18" fillId="0" borderId="0" xfId="1" applyFont="1" applyBorder="1" applyAlignment="1">
      <alignment horizontal="right"/>
    </xf>
    <xf numFmtId="165" fontId="18" fillId="0" borderId="0" xfId="1" applyNumberFormat="1" applyFont="1" applyBorder="1" applyAlignment="1">
      <alignment horizontal="center"/>
    </xf>
    <xf numFmtId="0" fontId="24" fillId="0" borderId="12" xfId="1" applyFont="1" applyBorder="1"/>
    <xf numFmtId="0" fontId="18" fillId="0" borderId="13" xfId="1" applyFont="1" applyBorder="1"/>
    <xf numFmtId="0" fontId="18" fillId="0" borderId="14" xfId="1" applyFont="1" applyBorder="1"/>
    <xf numFmtId="2" fontId="18" fillId="0" borderId="13" xfId="1" applyNumberFormat="1" applyFont="1" applyBorder="1" applyAlignment="1">
      <alignment horizontal="center"/>
    </xf>
    <xf numFmtId="0" fontId="18" fillId="0" borderId="14" xfId="1" applyFont="1" applyBorder="1" applyAlignment="1">
      <alignment horizontal="center"/>
    </xf>
    <xf numFmtId="0" fontId="22" fillId="0" borderId="12" xfId="1" applyFont="1" applyBorder="1"/>
    <xf numFmtId="2" fontId="17" fillId="0" borderId="13" xfId="1" applyNumberFormat="1" applyFont="1" applyBorder="1" applyAlignment="1">
      <alignment horizontal="center"/>
    </xf>
    <xf numFmtId="0" fontId="22" fillId="0" borderId="4" xfId="1" applyFont="1" applyFill="1" applyBorder="1"/>
    <xf numFmtId="0" fontId="28" fillId="0" borderId="5" xfId="1" applyFont="1" applyFill="1" applyBorder="1"/>
    <xf numFmtId="0" fontId="22" fillId="0" borderId="16" xfId="1" applyFont="1" applyBorder="1"/>
    <xf numFmtId="0" fontId="18" fillId="0" borderId="15" xfId="1" applyFont="1" applyBorder="1"/>
    <xf numFmtId="0" fontId="17" fillId="0" borderId="15" xfId="1" applyFont="1" applyBorder="1"/>
    <xf numFmtId="0" fontId="17" fillId="0" borderId="17" xfId="1" applyFont="1" applyBorder="1"/>
    <xf numFmtId="166" fontId="17" fillId="0" borderId="15" xfId="1" applyNumberFormat="1" applyFont="1" applyBorder="1" applyAlignment="1">
      <alignment horizontal="center"/>
    </xf>
    <xf numFmtId="0" fontId="18" fillId="0" borderId="17" xfId="1" applyFont="1" applyBorder="1" applyAlignment="1">
      <alignment horizontal="center"/>
    </xf>
    <xf numFmtId="0" fontId="30" fillId="0" borderId="0" xfId="1" applyFont="1"/>
    <xf numFmtId="0" fontId="32" fillId="0" borderId="0" xfId="6" applyFont="1"/>
    <xf numFmtId="0" fontId="35" fillId="0" borderId="0" xfId="6" applyFont="1" applyProtection="1"/>
    <xf numFmtId="0" fontId="32" fillId="0" borderId="0" xfId="6" applyFont="1" applyAlignment="1">
      <alignment horizontal="center"/>
    </xf>
    <xf numFmtId="0" fontId="36" fillId="0" borderId="34" xfId="6" applyFont="1" applyBorder="1" applyProtection="1"/>
    <xf numFmtId="1" fontId="36" fillId="0" borderId="35" xfId="4" applyNumberFormat="1" applyFont="1" applyFill="1" applyBorder="1" applyProtection="1"/>
    <xf numFmtId="0" fontId="34" fillId="0" borderId="0" xfId="6" applyFont="1" applyProtection="1"/>
    <xf numFmtId="0" fontId="37" fillId="2" borderId="21" xfId="6" applyFont="1" applyFill="1" applyBorder="1" applyAlignment="1" applyProtection="1">
      <alignment horizontal="center"/>
    </xf>
    <xf numFmtId="0" fontId="37" fillId="2" borderId="22" xfId="6" applyFont="1" applyFill="1" applyBorder="1" applyAlignment="1" applyProtection="1">
      <alignment horizontal="center"/>
    </xf>
    <xf numFmtId="0" fontId="36" fillId="0" borderId="23" xfId="6" applyFont="1" applyBorder="1" applyAlignment="1" applyProtection="1">
      <alignment horizontal="left"/>
    </xf>
    <xf numFmtId="0" fontId="36" fillId="0" borderId="24" xfId="6" applyNumberFormat="1" applyFont="1" applyFill="1" applyBorder="1" applyProtection="1"/>
    <xf numFmtId="0" fontId="36" fillId="0" borderId="23" xfId="6" applyFont="1" applyFill="1" applyBorder="1" applyProtection="1"/>
    <xf numFmtId="0" fontId="36" fillId="0" borderId="23" xfId="6" applyFont="1" applyBorder="1" applyProtection="1"/>
    <xf numFmtId="0" fontId="36" fillId="0" borderId="24" xfId="6" applyNumberFormat="1" applyFont="1" applyFill="1" applyBorder="1" applyAlignment="1" applyProtection="1">
      <alignment horizontal="right"/>
    </xf>
    <xf numFmtId="170" fontId="36" fillId="0" borderId="24" xfId="6" applyNumberFormat="1" applyFont="1" applyFill="1" applyBorder="1" applyProtection="1">
      <protection locked="0"/>
    </xf>
    <xf numFmtId="171" fontId="36" fillId="0" borderId="24" xfId="6" applyNumberFormat="1" applyFont="1" applyBorder="1" applyProtection="1">
      <protection locked="0"/>
    </xf>
    <xf numFmtId="167" fontId="36" fillId="0" borderId="24" xfId="6" applyNumberFormat="1" applyFont="1" applyFill="1" applyBorder="1" applyAlignment="1" applyProtection="1">
      <alignment horizontal="right"/>
      <protection locked="0"/>
    </xf>
    <xf numFmtId="168" fontId="36" fillId="0" borderId="24" xfId="6" applyNumberFormat="1" applyFont="1" applyFill="1" applyBorder="1" applyAlignment="1" applyProtection="1">
      <alignment horizontal="right"/>
      <protection locked="0"/>
    </xf>
    <xf numFmtId="0" fontId="36" fillId="0" borderId="20" xfId="6" applyFont="1" applyBorder="1" applyProtection="1"/>
    <xf numFmtId="168" fontId="36" fillId="0" borderId="25" xfId="6" applyNumberFormat="1" applyFont="1" applyFill="1" applyBorder="1" applyAlignment="1" applyProtection="1">
      <alignment horizontal="right"/>
      <protection locked="0"/>
    </xf>
    <xf numFmtId="0" fontId="37" fillId="2" borderId="18" xfId="6" applyFont="1" applyFill="1" applyBorder="1" applyAlignment="1" applyProtection="1">
      <alignment horizontal="center"/>
    </xf>
    <xf numFmtId="0" fontId="37" fillId="2" borderId="36" xfId="6" applyFont="1" applyFill="1" applyBorder="1" applyAlignment="1" applyProtection="1">
      <alignment horizontal="center"/>
    </xf>
    <xf numFmtId="0" fontId="37" fillId="2" borderId="19" xfId="6" applyFont="1" applyFill="1" applyBorder="1" applyAlignment="1" applyProtection="1">
      <alignment horizontal="center"/>
    </xf>
    <xf numFmtId="0" fontId="37" fillId="0" borderId="1" xfId="6" applyFont="1" applyBorder="1" applyProtection="1"/>
    <xf numFmtId="0" fontId="36" fillId="0" borderId="2" xfId="6" applyFont="1" applyBorder="1" applyProtection="1"/>
    <xf numFmtId="0" fontId="36" fillId="0" borderId="3" xfId="6" applyFont="1" applyBorder="1" applyAlignment="1" applyProtection="1">
      <alignment horizontal="center"/>
    </xf>
    <xf numFmtId="0" fontId="38" fillId="0" borderId="4" xfId="6" applyFont="1" applyBorder="1" applyProtection="1"/>
    <xf numFmtId="7" fontId="36" fillId="0" borderId="0" xfId="6" applyNumberFormat="1" applyFont="1" applyBorder="1" applyProtection="1"/>
    <xf numFmtId="0" fontId="36" fillId="0" borderId="5" xfId="6" applyFont="1" applyBorder="1" applyAlignment="1" applyProtection="1">
      <alignment horizontal="center"/>
    </xf>
    <xf numFmtId="0" fontId="37" fillId="0" borderId="4" xfId="6" applyFont="1" applyBorder="1" applyProtection="1"/>
    <xf numFmtId="5" fontId="36" fillId="0" borderId="0" xfId="6" applyNumberFormat="1" applyFont="1" applyBorder="1" applyProtection="1"/>
    <xf numFmtId="0" fontId="36" fillId="0" borderId="4" xfId="6" applyFont="1" applyBorder="1" applyProtection="1"/>
    <xf numFmtId="5" fontId="36" fillId="0" borderId="7" xfId="6" applyNumberFormat="1" applyFont="1" applyBorder="1" applyProtection="1"/>
    <xf numFmtId="0" fontId="36" fillId="0" borderId="8" xfId="6" applyFont="1" applyBorder="1" applyAlignment="1" applyProtection="1">
      <alignment horizontal="center"/>
    </xf>
    <xf numFmtId="0" fontId="38" fillId="0" borderId="37" xfId="6" applyFont="1" applyBorder="1" applyProtection="1"/>
    <xf numFmtId="5" fontId="36" fillId="0" borderId="38" xfId="6" applyNumberFormat="1" applyFont="1" applyBorder="1" applyProtection="1"/>
    <xf numFmtId="0" fontId="36" fillId="0" borderId="39" xfId="6" applyFont="1" applyBorder="1" applyAlignment="1" applyProtection="1">
      <alignment horizontal="center"/>
    </xf>
    <xf numFmtId="0" fontId="37" fillId="0" borderId="6" xfId="6" applyFont="1" applyBorder="1" applyProtection="1"/>
    <xf numFmtId="5" fontId="37" fillId="0" borderId="7" xfId="6" applyNumberFormat="1" applyFont="1" applyBorder="1" applyProtection="1"/>
    <xf numFmtId="0" fontId="37" fillId="0" borderId="8" xfId="6" applyFont="1" applyBorder="1" applyAlignment="1" applyProtection="1">
      <alignment horizontal="center"/>
    </xf>
    <xf numFmtId="0" fontId="40" fillId="0" borderId="0" xfId="6" applyFont="1" applyProtection="1"/>
    <xf numFmtId="0" fontId="41" fillId="0" borderId="0" xfId="6" applyFont="1" applyProtection="1"/>
    <xf numFmtId="0" fontId="37" fillId="2" borderId="27" xfId="6" applyFont="1" applyFill="1" applyBorder="1" applyAlignment="1" applyProtection="1">
      <alignment horizontal="center"/>
    </xf>
    <xf numFmtId="0" fontId="37" fillId="0" borderId="28" xfId="6" applyFont="1" applyBorder="1" applyProtection="1"/>
    <xf numFmtId="0" fontId="36" fillId="0" borderId="28" xfId="6" applyFont="1" applyBorder="1" applyAlignment="1" applyProtection="1">
      <alignment horizontal="right"/>
    </xf>
    <xf numFmtId="0" fontId="36" fillId="0" borderId="28" xfId="6" applyFont="1" applyBorder="1" applyAlignment="1" applyProtection="1">
      <alignment horizontal="center"/>
    </xf>
    <xf numFmtId="0" fontId="36" fillId="0" borderId="24" xfId="6" applyFont="1" applyBorder="1" applyProtection="1"/>
    <xf numFmtId="169" fontId="36" fillId="0" borderId="24" xfId="2" quotePrefix="1" applyNumberFormat="1" applyFont="1" applyFill="1" applyBorder="1" applyAlignment="1" applyProtection="1">
      <alignment horizontal="right"/>
    </xf>
    <xf numFmtId="0" fontId="36" fillId="0" borderId="24" xfId="6" applyFont="1" applyBorder="1" applyAlignment="1" applyProtection="1">
      <alignment horizontal="center"/>
    </xf>
    <xf numFmtId="0" fontId="36" fillId="0" borderId="29" xfId="6" applyFont="1" applyBorder="1" applyAlignment="1" applyProtection="1">
      <alignment horizontal="center"/>
    </xf>
    <xf numFmtId="2" fontId="36" fillId="0" borderId="24" xfId="6" applyNumberFormat="1" applyFont="1" applyFill="1" applyBorder="1" applyAlignment="1" applyProtection="1">
      <alignment horizontal="right"/>
    </xf>
    <xf numFmtId="5" fontId="36" fillId="0" borderId="24" xfId="6" applyNumberFormat="1" applyFont="1" applyBorder="1" applyAlignment="1" applyProtection="1">
      <alignment horizontal="right"/>
    </xf>
    <xf numFmtId="0" fontId="37" fillId="0" borderId="30" xfId="6" applyFont="1" applyBorder="1" applyProtection="1"/>
    <xf numFmtId="0" fontId="36" fillId="0" borderId="30" xfId="6" applyFont="1" applyBorder="1" applyAlignment="1" applyProtection="1">
      <alignment horizontal="right"/>
    </xf>
    <xf numFmtId="0" fontId="36" fillId="0" borderId="30" xfId="6" applyFont="1" applyBorder="1" applyAlignment="1" applyProtection="1">
      <alignment horizontal="center"/>
    </xf>
    <xf numFmtId="0" fontId="36" fillId="0" borderId="29" xfId="6" applyFont="1" applyBorder="1" applyProtection="1"/>
    <xf numFmtId="0" fontId="36" fillId="0" borderId="29" xfId="6" applyFont="1" applyFill="1" applyBorder="1" applyAlignment="1" applyProtection="1">
      <alignment horizontal="right"/>
    </xf>
    <xf numFmtId="0" fontId="36" fillId="0" borderId="29" xfId="6" applyFont="1" applyFill="1" applyBorder="1" applyAlignment="1" applyProtection="1">
      <alignment horizontal="center"/>
    </xf>
    <xf numFmtId="7" fontId="36" fillId="0" borderId="29" xfId="6" applyNumberFormat="1" applyFont="1" applyBorder="1" applyAlignment="1" applyProtection="1">
      <alignment horizontal="right"/>
    </xf>
    <xf numFmtId="0" fontId="36" fillId="0" borderId="31" xfId="6" applyFont="1" applyBorder="1" applyProtection="1"/>
    <xf numFmtId="5" fontId="36" fillId="0" borderId="31" xfId="6" applyNumberFormat="1" applyFont="1" applyFill="1" applyBorder="1" applyAlignment="1" applyProtection="1">
      <alignment horizontal="right"/>
    </xf>
    <xf numFmtId="0" fontId="36" fillId="0" borderId="31" xfId="6" applyFont="1" applyBorder="1" applyAlignment="1" applyProtection="1">
      <alignment horizontal="center"/>
    </xf>
    <xf numFmtId="0" fontId="37" fillId="0" borderId="29" xfId="6" applyFont="1" applyFill="1" applyBorder="1" applyProtection="1"/>
    <xf numFmtId="5" fontId="36" fillId="0" borderId="29" xfId="6" applyNumberFormat="1" applyFont="1" applyFill="1" applyBorder="1" applyAlignment="1" applyProtection="1">
      <alignment horizontal="right"/>
    </xf>
    <xf numFmtId="39" fontId="36" fillId="0" borderId="29" xfId="6" applyNumberFormat="1" applyFont="1" applyBorder="1" applyAlignment="1" applyProtection="1">
      <alignment horizontal="right"/>
    </xf>
    <xf numFmtId="5" fontId="36" fillId="0" borderId="29" xfId="6" applyNumberFormat="1" applyFont="1" applyBorder="1" applyAlignment="1" applyProtection="1">
      <alignment horizontal="right"/>
    </xf>
    <xf numFmtId="0" fontId="37" fillId="0" borderId="32" xfId="6" applyFont="1" applyBorder="1" applyProtection="1"/>
    <xf numFmtId="5" fontId="37" fillId="0" borderId="32" xfId="6" applyNumberFormat="1" applyFont="1" applyBorder="1" applyAlignment="1" applyProtection="1">
      <alignment horizontal="right"/>
    </xf>
    <xf numFmtId="0" fontId="36" fillId="0" borderId="32" xfId="6" applyFont="1" applyBorder="1" applyAlignment="1" applyProtection="1">
      <alignment horizontal="center"/>
    </xf>
    <xf numFmtId="5" fontId="36" fillId="0" borderId="31" xfId="6" applyNumberFormat="1" applyFont="1" applyBorder="1" applyAlignment="1" applyProtection="1">
      <alignment horizontal="right"/>
    </xf>
    <xf numFmtId="170" fontId="36" fillId="0" borderId="29" xfId="6" applyNumberFormat="1" applyFont="1" applyFill="1" applyBorder="1" applyAlignment="1" applyProtection="1">
      <alignment horizontal="right"/>
    </xf>
    <xf numFmtId="3" fontId="36" fillId="0" borderId="29" xfId="6" applyNumberFormat="1" applyFont="1" applyBorder="1" applyAlignment="1" applyProtection="1">
      <alignment horizontal="right"/>
    </xf>
    <xf numFmtId="1" fontId="32" fillId="0" borderId="0" xfId="6" applyNumberFormat="1" applyFont="1"/>
    <xf numFmtId="0" fontId="36" fillId="0" borderId="29" xfId="6" applyFont="1" applyFill="1" applyBorder="1" applyProtection="1"/>
    <xf numFmtId="0" fontId="36" fillId="0" borderId="26" xfId="6" applyFont="1" applyFill="1" applyBorder="1" applyAlignment="1" applyProtection="1">
      <alignment horizontal="center"/>
    </xf>
    <xf numFmtId="0" fontId="32" fillId="0" borderId="0" xfId="6" quotePrefix="1" applyFont="1"/>
    <xf numFmtId="1" fontId="36" fillId="0" borderId="29" xfId="6" applyNumberFormat="1" applyFont="1" applyFill="1" applyBorder="1" applyAlignment="1" applyProtection="1">
      <alignment horizontal="right"/>
    </xf>
    <xf numFmtId="5" fontId="32" fillId="0" borderId="0" xfId="3" applyNumberFormat="1" applyFont="1"/>
    <xf numFmtId="1" fontId="32" fillId="0" borderId="0" xfId="3" applyNumberFormat="1" applyFont="1"/>
    <xf numFmtId="172" fontId="36" fillId="0" borderId="29" xfId="6" applyNumberFormat="1" applyFont="1" applyFill="1" applyBorder="1" applyAlignment="1" applyProtection="1">
      <alignment horizontal="right"/>
    </xf>
    <xf numFmtId="0" fontId="36" fillId="0" borderId="33" xfId="6" applyFont="1" applyBorder="1" applyProtection="1"/>
    <xf numFmtId="5" fontId="36" fillId="0" borderId="33" xfId="6" applyNumberFormat="1" applyFont="1" applyFill="1" applyBorder="1" applyAlignment="1" applyProtection="1">
      <alignment horizontal="right"/>
    </xf>
    <xf numFmtId="0" fontId="36" fillId="0" borderId="33" xfId="6" applyFont="1" applyBorder="1" applyAlignment="1" applyProtection="1">
      <alignment horizontal="center"/>
    </xf>
    <xf numFmtId="5" fontId="37" fillId="0" borderId="5" xfId="6" applyNumberFormat="1" applyFont="1" applyFill="1" applyBorder="1" applyAlignment="1" applyProtection="1">
      <alignment horizontal="right"/>
    </xf>
    <xf numFmtId="0" fontId="36" fillId="0" borderId="0" xfId="6" applyFont="1" applyBorder="1" applyAlignment="1" applyProtection="1">
      <alignment horizontal="center"/>
    </xf>
    <xf numFmtId="173" fontId="37" fillId="0" borderId="5" xfId="6" applyNumberFormat="1" applyFont="1" applyFill="1" applyBorder="1" applyAlignment="1" applyProtection="1">
      <alignment horizontal="right"/>
    </xf>
    <xf numFmtId="5" fontId="37" fillId="0" borderId="8" xfId="6" applyNumberFormat="1" applyFont="1" applyFill="1" applyBorder="1" applyAlignment="1" applyProtection="1">
      <alignment horizontal="right"/>
    </xf>
    <xf numFmtId="43" fontId="17" fillId="0" borderId="0" xfId="2" applyFont="1" applyBorder="1" applyAlignment="1">
      <alignment horizontal="center"/>
    </xf>
    <xf numFmtId="0" fontId="31" fillId="0" borderId="0" xfId="5" applyFont="1" applyFill="1" applyAlignment="1" applyProtection="1">
      <alignment horizontal="center"/>
    </xf>
    <xf numFmtId="0" fontId="33" fillId="0" borderId="0" xfId="5" applyFont="1" applyAlignment="1" applyProtection="1">
      <alignment horizontal="center"/>
    </xf>
    <xf numFmtId="0" fontId="34" fillId="0" borderId="0" xfId="5" applyFont="1" applyAlignment="1" applyProtection="1">
      <alignment horizontal="center"/>
    </xf>
    <xf numFmtId="2" fontId="36" fillId="0" borderId="29" xfId="6" applyNumberFormat="1" applyFont="1" applyFill="1" applyBorder="1" applyAlignment="1" applyProtection="1">
      <alignment horizontal="right"/>
    </xf>
  </cellXfs>
  <cellStyles count="8">
    <cellStyle name="Comma" xfId="2" builtinId="3"/>
    <cellStyle name="Currency" xfId="3" builtinId="4"/>
    <cellStyle name="Normal" xfId="0" builtinId="0"/>
    <cellStyle name="Normal 2" xfId="7" xr:uid="{00000000-0005-0000-0000-000003000000}"/>
    <cellStyle name="Normal_Att 10-C -D -E -F_Coal Boiler costings" xfId="5" xr:uid="{00000000-0005-0000-0000-000004000000}"/>
    <cellStyle name="Normal_BACT Two Elk Auxiliary Boiler (010907)" xfId="6" xr:uid="{00000000-0005-0000-0000-000005000000}"/>
    <cellStyle name="Normal_cost-effectiveness" xfId="1" xr:uid="{00000000-0005-0000-0000-000006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n-svrfile\groups\AQ\PERMITS\AIRFACS\Agrium%20Nikiski%20(83)\Construction\AQ0083CPT06\Application\CPT06%20Application%20CD\Cost%20Estimating%20Sheets%20(04-10-20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1 CO Cat for VOC &amp; CO"/>
      <sheetName val="EU2 RTO for VOC (Max)"/>
      <sheetName val="EU2 RTO for VOC (normal)"/>
      <sheetName val="EU2 CatOx for VOC (Max)"/>
      <sheetName val="EU2 CatOx for VOC (normal)"/>
      <sheetName val="EU2 Adsorber VOC (Max)"/>
      <sheetName val="EU5 RTO for VOC"/>
      <sheetName val="EU5 CatOx for VOC"/>
      <sheetName val="EU5 CO Cat for VOC &amp; CO"/>
      <sheetName val="EU5 SCR for NOX"/>
      <sheetName val="EU16 RTO for VOC&amp;CO"/>
      <sheetName val="EU16 CatOx for VOC&amp;CO"/>
      <sheetName val="EU7 ESP for PM"/>
      <sheetName val="EU7 RTO for VOC "/>
      <sheetName val="EU16 RTO for VOC"/>
      <sheetName val="EU16 CO Cat for VOC &amp; CO"/>
      <sheetName val="EU21 RTO for VOC"/>
      <sheetName val="EU21 SNCR for NOX"/>
      <sheetName val="EU21 SCR for NOX"/>
      <sheetName val="EU21 CatOx For VOC"/>
      <sheetName val="EU21 CO Cat for VOC &amp; CO"/>
      <sheetName val="EU1 CCS Costs"/>
      <sheetName val="EU1 CCS Costs (CO2 Vent)"/>
      <sheetName val="ESP"/>
      <sheetName val="eq. 2.36"/>
      <sheetName val="EU1 RTO for VOC"/>
      <sheetName val="EU1 CatOx for VOC"/>
      <sheetName val="Adsorber&amp;Utilities Cost"/>
      <sheetName val="EU7 CatOx for VOC "/>
      <sheetName val="EU16 CatOx for VOC "/>
      <sheetName val="EU21 RTO for VOC&amp;CO"/>
      <sheetName val="EU21 CatOx for VOC&amp;CO"/>
      <sheetName val="Aux Boiler SCR "/>
      <sheetName val="Wet ESP (PM)"/>
      <sheetName val="Wet FGD"/>
      <sheetName val="Wet ESP H2SO4"/>
      <sheetName val="Tail-End SCR"/>
      <sheetName val="BSG SCR"/>
      <sheetName val="Sheet2"/>
      <sheetName val="ENR CCI"/>
      <sheetName val="EU15 Dry Cooling for PM"/>
      <sheetName val="NG Calcs EU1"/>
      <sheetName val="NG Calcs EU2"/>
      <sheetName val="NG Calcs EU5"/>
      <sheetName val="NG Calcs EU7"/>
      <sheetName val="NG Calcs EU16"/>
      <sheetName val="NG Calcs EU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3">
          <cell r="C13">
            <v>7</v>
          </cell>
        </row>
        <row r="18">
          <cell r="C18">
            <v>9.2999999999999999E-2</v>
          </cell>
        </row>
        <row r="19">
          <cell r="C19">
            <v>45</v>
          </cell>
        </row>
        <row r="20">
          <cell r="C20">
            <v>45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3">
          <cell r="C33">
            <v>1352136.3654116322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4">
          <cell r="B4">
            <v>9437.27</v>
          </cell>
        </row>
        <row r="19">
          <cell r="B19">
            <v>5920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opLeftCell="A19" workbookViewId="0">
      <selection activeCell="B70" sqref="B70"/>
    </sheetView>
  </sheetViews>
  <sheetFormatPr defaultColWidth="9.140625" defaultRowHeight="12.75"/>
  <cols>
    <col min="1" max="1" width="37.85546875" style="200" customWidth="1"/>
    <col min="2" max="2" width="27.85546875" style="200" customWidth="1"/>
    <col min="3" max="3" width="36.5703125" style="200" customWidth="1"/>
    <col min="4" max="16384" width="9.140625" style="200"/>
  </cols>
  <sheetData>
    <row r="1" spans="1:7" ht="18">
      <c r="A1" s="287" t="s">
        <v>131</v>
      </c>
      <c r="B1" s="287"/>
      <c r="C1" s="287"/>
      <c r="D1" s="287"/>
    </row>
    <row r="2" spans="1:7" ht="18">
      <c r="A2" s="288" t="s">
        <v>119</v>
      </c>
      <c r="B2" s="288"/>
      <c r="C2" s="288"/>
      <c r="D2" s="288"/>
    </row>
    <row r="3" spans="1:7" ht="18">
      <c r="A3" s="289" t="s">
        <v>132</v>
      </c>
      <c r="B3" s="289"/>
      <c r="C3" s="289"/>
      <c r="D3" s="289"/>
      <c r="E3" s="201"/>
      <c r="F3" s="201"/>
      <c r="G3" s="201"/>
    </row>
    <row r="4" spans="1:7" ht="18">
      <c r="A4" s="289" t="s">
        <v>133</v>
      </c>
      <c r="B4" s="289"/>
      <c r="C4" s="289"/>
      <c r="D4" s="289"/>
      <c r="E4" s="201"/>
      <c r="F4" s="201"/>
      <c r="G4" s="201"/>
    </row>
    <row r="5" spans="1:7">
      <c r="C5" s="202"/>
      <c r="D5" s="202"/>
    </row>
    <row r="6" spans="1:7">
      <c r="A6" s="203" t="s">
        <v>134</v>
      </c>
      <c r="B6" s="204">
        <v>90</v>
      </c>
      <c r="C6" s="202"/>
      <c r="D6" s="202"/>
    </row>
    <row r="7" spans="1:7">
      <c r="C7" s="202"/>
      <c r="D7" s="202"/>
    </row>
    <row r="8" spans="1:7" ht="15.75">
      <c r="A8" s="205" t="s">
        <v>64</v>
      </c>
      <c r="C8" s="202"/>
      <c r="D8" s="202"/>
    </row>
    <row r="9" spans="1:7">
      <c r="C9" s="202"/>
      <c r="D9" s="202"/>
    </row>
    <row r="10" spans="1:7" ht="13.5" thickBot="1">
      <c r="A10" s="206" t="s">
        <v>65</v>
      </c>
      <c r="B10" s="207" t="s">
        <v>66</v>
      </c>
      <c r="C10" s="202"/>
      <c r="D10" s="202"/>
    </row>
    <row r="11" spans="1:7" ht="13.5" thickTop="1">
      <c r="A11" s="208" t="s">
        <v>135</v>
      </c>
      <c r="B11" s="209">
        <v>8760</v>
      </c>
      <c r="C11" s="202"/>
      <c r="D11" s="202"/>
    </row>
    <row r="12" spans="1:7">
      <c r="A12" s="210" t="s">
        <v>67</v>
      </c>
      <c r="B12" s="209">
        <v>25</v>
      </c>
      <c r="C12" s="202"/>
      <c r="D12" s="202"/>
    </row>
    <row r="13" spans="1:7">
      <c r="A13" s="210" t="s">
        <v>68</v>
      </c>
      <c r="B13" s="209">
        <v>3.25</v>
      </c>
      <c r="C13" s="202"/>
      <c r="D13" s="202"/>
    </row>
    <row r="14" spans="1:7">
      <c r="A14" s="211" t="s">
        <v>69</v>
      </c>
      <c r="B14" s="212" t="s">
        <v>133</v>
      </c>
      <c r="C14" s="202"/>
      <c r="D14" s="202"/>
    </row>
    <row r="15" spans="1:7">
      <c r="A15" s="211" t="s">
        <v>70</v>
      </c>
      <c r="B15" s="213">
        <v>62719</v>
      </c>
      <c r="C15" s="202"/>
      <c r="D15" s="202"/>
    </row>
    <row r="16" spans="1:7">
      <c r="A16" s="211" t="s">
        <v>136</v>
      </c>
      <c r="B16" s="213">
        <v>9.9</v>
      </c>
      <c r="C16" s="202"/>
      <c r="D16" s="202"/>
    </row>
    <row r="17" spans="1:4">
      <c r="A17" s="211" t="s">
        <v>137</v>
      </c>
      <c r="B17" s="214">
        <f>B16*200/2000</f>
        <v>0.99</v>
      </c>
      <c r="C17" s="202"/>
      <c r="D17" s="202"/>
    </row>
    <row r="18" spans="1:4">
      <c r="A18" s="211" t="s">
        <v>71</v>
      </c>
      <c r="B18" s="215">
        <f>'[1]EU5 RTO for VOC'!C18</f>
        <v>9.2999999999999999E-2</v>
      </c>
      <c r="C18" s="202"/>
      <c r="D18" s="202"/>
    </row>
    <row r="19" spans="1:4">
      <c r="A19" s="211" t="s">
        <v>72</v>
      </c>
      <c r="B19" s="216">
        <f>'[1]EU5 RTO for VOC'!C19</f>
        <v>45</v>
      </c>
      <c r="C19" s="202"/>
      <c r="D19" s="202"/>
    </row>
    <row r="20" spans="1:4">
      <c r="A20" s="217" t="s">
        <v>73</v>
      </c>
      <c r="B20" s="218">
        <f>'[1]EU5 RTO for VOC'!C20</f>
        <v>45</v>
      </c>
      <c r="C20" s="202"/>
      <c r="D20" s="202"/>
    </row>
    <row r="21" spans="1:4">
      <c r="C21" s="202"/>
      <c r="D21" s="202"/>
    </row>
    <row r="22" spans="1:4" ht="15.75">
      <c r="A22" s="205" t="s">
        <v>74</v>
      </c>
      <c r="C22" s="202"/>
      <c r="D22" s="202"/>
    </row>
    <row r="23" spans="1:4">
      <c r="C23" s="202"/>
      <c r="D23" s="202"/>
    </row>
    <row r="24" spans="1:4">
      <c r="A24" s="219"/>
      <c r="B24" s="220" t="s">
        <v>66</v>
      </c>
      <c r="C24" s="221" t="s">
        <v>75</v>
      </c>
      <c r="D24" s="202"/>
    </row>
    <row r="25" spans="1:4">
      <c r="A25" s="222" t="s">
        <v>76</v>
      </c>
      <c r="B25" s="223"/>
      <c r="C25" s="224"/>
      <c r="D25" s="202"/>
    </row>
    <row r="26" spans="1:4">
      <c r="A26" s="225" t="s">
        <v>138</v>
      </c>
      <c r="B26" s="226">
        <f>'[1]eq. 2.36'!C33*('[1]ENR CCI'!B4/'[1]ENR CCI'!B19)*1.0851</f>
        <v>2338917.6454673405</v>
      </c>
      <c r="C26" s="227" t="s">
        <v>139</v>
      </c>
      <c r="D26" s="202"/>
    </row>
    <row r="27" spans="1:4">
      <c r="A27" s="228" t="s">
        <v>140</v>
      </c>
      <c r="B27" s="229"/>
      <c r="C27" s="227"/>
      <c r="D27" s="202"/>
    </row>
    <row r="28" spans="1:4">
      <c r="A28" s="230" t="s">
        <v>141</v>
      </c>
      <c r="B28" s="229">
        <f>0.05*B26</f>
        <v>116945.88227336702</v>
      </c>
      <c r="C28" s="227" t="s">
        <v>142</v>
      </c>
      <c r="D28" s="202"/>
    </row>
    <row r="29" spans="1:4">
      <c r="A29" s="230" t="s">
        <v>143</v>
      </c>
      <c r="B29" s="229">
        <f>0.1*B26</f>
        <v>233891.76454673405</v>
      </c>
      <c r="C29" s="227" t="s">
        <v>144</v>
      </c>
      <c r="D29" s="202"/>
    </row>
    <row r="30" spans="1:4">
      <c r="A30" s="230" t="s">
        <v>145</v>
      </c>
      <c r="B30" s="231">
        <f>0.05*B26</f>
        <v>116945.88227336702</v>
      </c>
      <c r="C30" s="232" t="s">
        <v>142</v>
      </c>
      <c r="D30" s="202"/>
    </row>
    <row r="31" spans="1:4">
      <c r="A31" s="228" t="s">
        <v>77</v>
      </c>
      <c r="B31" s="229">
        <f>SUM(B28:B30)</f>
        <v>467783.5290934681</v>
      </c>
      <c r="C31" s="227" t="s">
        <v>146</v>
      </c>
      <c r="D31" s="202"/>
    </row>
    <row r="32" spans="1:4">
      <c r="A32" s="225" t="s">
        <v>147</v>
      </c>
      <c r="B32" s="231">
        <f>(B26+B31)*0.15</f>
        <v>421005.17618412129</v>
      </c>
      <c r="C32" s="232" t="s">
        <v>148</v>
      </c>
      <c r="D32" s="202"/>
    </row>
    <row r="33" spans="1:4">
      <c r="A33" s="228" t="s">
        <v>149</v>
      </c>
      <c r="B33" s="229">
        <f>B26+B31+B32</f>
        <v>3227706.3507449301</v>
      </c>
      <c r="C33" s="227" t="s">
        <v>150</v>
      </c>
      <c r="D33" s="202"/>
    </row>
    <row r="34" spans="1:4">
      <c r="A34" s="230" t="s">
        <v>151</v>
      </c>
      <c r="B34" s="229">
        <v>0</v>
      </c>
      <c r="C34" s="227" t="s">
        <v>152</v>
      </c>
      <c r="D34" s="202"/>
    </row>
    <row r="35" spans="1:4">
      <c r="A35" s="230" t="s">
        <v>153</v>
      </c>
      <c r="B35" s="229">
        <v>0</v>
      </c>
      <c r="C35" s="227" t="s">
        <v>154</v>
      </c>
      <c r="D35" s="202"/>
    </row>
    <row r="36" spans="1:4">
      <c r="A36" s="230" t="s">
        <v>155</v>
      </c>
      <c r="B36" s="226">
        <f>0.02*(B33+B34)</f>
        <v>64554.1270148986</v>
      </c>
      <c r="C36" s="227" t="s">
        <v>156</v>
      </c>
      <c r="D36" s="202"/>
    </row>
    <row r="37" spans="1:4">
      <c r="A37" s="230" t="s">
        <v>157</v>
      </c>
      <c r="B37" s="229">
        <f>20000*5.5/2000*B53</f>
        <v>14300</v>
      </c>
      <c r="C37" s="227" t="s">
        <v>158</v>
      </c>
      <c r="D37" s="202"/>
    </row>
    <row r="38" spans="1:4" ht="13.5" thickBot="1">
      <c r="A38" s="233" t="s">
        <v>159</v>
      </c>
      <c r="B38" s="234">
        <v>0</v>
      </c>
      <c r="C38" s="235" t="s">
        <v>160</v>
      </c>
      <c r="D38" s="202"/>
    </row>
    <row r="39" spans="1:4" ht="13.5" thickTop="1">
      <c r="A39" s="236" t="s">
        <v>78</v>
      </c>
      <c r="B39" s="237">
        <f>ROUND((SUM(B33:B38)),-2)</f>
        <v>3306600</v>
      </c>
      <c r="C39" s="238" t="s">
        <v>161</v>
      </c>
      <c r="D39" s="202"/>
    </row>
    <row r="40" spans="1:4">
      <c r="A40" s="239" t="s">
        <v>162</v>
      </c>
      <c r="C40" s="202"/>
      <c r="D40" s="202"/>
    </row>
    <row r="41" spans="1:4">
      <c r="A41" s="240"/>
      <c r="C41" s="202"/>
      <c r="D41" s="202"/>
    </row>
    <row r="42" spans="1:4" ht="15.75">
      <c r="A42" s="205" t="s">
        <v>79</v>
      </c>
      <c r="C42" s="202"/>
      <c r="D42" s="202"/>
    </row>
    <row r="43" spans="1:4">
      <c r="C43" s="202"/>
      <c r="D43" s="202"/>
    </row>
    <row r="44" spans="1:4">
      <c r="A44" s="241" t="s">
        <v>65</v>
      </c>
      <c r="B44" s="241" t="s">
        <v>66</v>
      </c>
      <c r="C44" s="241" t="s">
        <v>75</v>
      </c>
      <c r="D44" s="241" t="s">
        <v>0</v>
      </c>
    </row>
    <row r="45" spans="1:4">
      <c r="A45" s="242" t="s">
        <v>80</v>
      </c>
      <c r="B45" s="243"/>
      <c r="C45" s="244"/>
      <c r="D45" s="244"/>
    </row>
    <row r="46" spans="1:4">
      <c r="A46" s="245" t="s">
        <v>81</v>
      </c>
      <c r="B46" s="246">
        <v>1000</v>
      </c>
      <c r="C46" s="247"/>
      <c r="D46" s="248" t="s">
        <v>82</v>
      </c>
    </row>
    <row r="47" spans="1:4">
      <c r="A47" s="245" t="s">
        <v>83</v>
      </c>
      <c r="B47" s="249">
        <f>B18</f>
        <v>9.2999999999999999E-2</v>
      </c>
      <c r="C47" s="247"/>
      <c r="D47" s="247"/>
    </row>
    <row r="48" spans="1:4">
      <c r="A48" s="245" t="s">
        <v>84</v>
      </c>
      <c r="B48" s="250">
        <f>B46*B47*B11</f>
        <v>814680</v>
      </c>
      <c r="C48" s="247"/>
      <c r="D48" s="247"/>
    </row>
    <row r="49" spans="1:4">
      <c r="A49" s="251" t="s">
        <v>85</v>
      </c>
      <c r="B49" s="252"/>
      <c r="C49" s="253"/>
      <c r="D49" s="253"/>
    </row>
    <row r="50" spans="1:4">
      <c r="A50" s="254" t="s">
        <v>86</v>
      </c>
      <c r="B50" s="255">
        <v>0.5</v>
      </c>
      <c r="C50" s="256" t="s">
        <v>87</v>
      </c>
      <c r="D50" s="248" t="s">
        <v>88</v>
      </c>
    </row>
    <row r="51" spans="1:4">
      <c r="A51" s="254" t="s">
        <v>89</v>
      </c>
      <c r="B51" s="257">
        <f>B19</f>
        <v>45</v>
      </c>
      <c r="C51" s="248" t="s">
        <v>82</v>
      </c>
      <c r="D51" s="248" t="s">
        <v>88</v>
      </c>
    </row>
    <row r="52" spans="1:4">
      <c r="A52" s="258" t="s">
        <v>90</v>
      </c>
      <c r="B52" s="259">
        <f>ROUND(B50*3*365*B51,-1)</f>
        <v>24640</v>
      </c>
      <c r="C52" s="260" t="s">
        <v>91</v>
      </c>
      <c r="D52" s="260" t="s">
        <v>88</v>
      </c>
    </row>
    <row r="53" spans="1:4">
      <c r="A53" s="261" t="s">
        <v>163</v>
      </c>
      <c r="B53" s="262">
        <f>0.5*520</f>
        <v>260</v>
      </c>
      <c r="C53" s="256" t="s">
        <v>164</v>
      </c>
      <c r="D53" s="256" t="s">
        <v>165</v>
      </c>
    </row>
    <row r="54" spans="1:4">
      <c r="A54" s="254" t="s">
        <v>166</v>
      </c>
      <c r="B54" s="263">
        <f>(20000*5.15*52)*(B11/8760)</f>
        <v>5356000</v>
      </c>
      <c r="C54" s="248" t="s">
        <v>167</v>
      </c>
      <c r="D54" s="248"/>
    </row>
    <row r="55" spans="1:4">
      <c r="A55" s="254" t="s">
        <v>168</v>
      </c>
      <c r="B55" s="264">
        <f>(B53*B54)/2000</f>
        <v>696280</v>
      </c>
      <c r="C55" s="248"/>
      <c r="D55" s="260"/>
    </row>
    <row r="56" spans="1:4">
      <c r="A56" s="265" t="s">
        <v>92</v>
      </c>
      <c r="B56" s="266">
        <f>B48+B52+B55</f>
        <v>1535600</v>
      </c>
      <c r="C56" s="267"/>
      <c r="D56" s="248" t="s">
        <v>82</v>
      </c>
    </row>
    <row r="57" spans="1:4">
      <c r="A57" s="251" t="s">
        <v>169</v>
      </c>
      <c r="B57" s="252"/>
      <c r="C57" s="253"/>
      <c r="D57" s="253"/>
    </row>
    <row r="58" spans="1:4">
      <c r="A58" s="258" t="s">
        <v>84</v>
      </c>
      <c r="B58" s="268">
        <f>ROUND(0.15*B52,-1)</f>
        <v>3700</v>
      </c>
      <c r="C58" s="260" t="s">
        <v>93</v>
      </c>
      <c r="D58" s="260" t="s">
        <v>94</v>
      </c>
    </row>
    <row r="59" spans="1:4">
      <c r="A59" s="251" t="s">
        <v>170</v>
      </c>
      <c r="B59" s="252"/>
      <c r="C59" s="253"/>
      <c r="D59" s="253"/>
    </row>
    <row r="60" spans="1:4">
      <c r="A60" s="254" t="s">
        <v>95</v>
      </c>
      <c r="B60" s="269">
        <f>0.5*$B$11/24</f>
        <v>182.5</v>
      </c>
      <c r="C60" s="256" t="s">
        <v>171</v>
      </c>
      <c r="D60" s="248" t="s">
        <v>82</v>
      </c>
    </row>
    <row r="61" spans="1:4">
      <c r="A61" s="254" t="s">
        <v>96</v>
      </c>
      <c r="B61" s="270">
        <f>8*160/10</f>
        <v>128</v>
      </c>
      <c r="C61" s="256" t="s">
        <v>172</v>
      </c>
      <c r="D61" s="248" t="s">
        <v>82</v>
      </c>
    </row>
    <row r="62" spans="1:4">
      <c r="A62" s="254" t="s">
        <v>89</v>
      </c>
      <c r="B62" s="257">
        <f>B20</f>
        <v>45</v>
      </c>
      <c r="C62" s="248" t="str">
        <f>IF($B$20=0,"Industry Averages","Facility Data")</f>
        <v>Facility Data</v>
      </c>
      <c r="D62" s="248" t="s">
        <v>82</v>
      </c>
    </row>
    <row r="63" spans="1:4">
      <c r="A63" s="254" t="s">
        <v>90</v>
      </c>
      <c r="B63" s="264">
        <f>ROUND((B60+B61)*B62,-1)</f>
        <v>13970</v>
      </c>
      <c r="C63" s="248" t="s">
        <v>91</v>
      </c>
      <c r="D63" s="248" t="s">
        <v>88</v>
      </c>
    </row>
    <row r="64" spans="1:4">
      <c r="A64" s="254" t="s">
        <v>97</v>
      </c>
      <c r="B64" s="264">
        <f>ROUND(+B63,-1)</f>
        <v>13970</v>
      </c>
      <c r="C64" s="248" t="s">
        <v>98</v>
      </c>
      <c r="D64" s="248" t="s">
        <v>94</v>
      </c>
    </row>
    <row r="65" spans="1:8">
      <c r="A65" s="258" t="s">
        <v>99</v>
      </c>
      <c r="B65" s="268">
        <f>ROUND(+B64+B63,-1)</f>
        <v>27940</v>
      </c>
      <c r="C65" s="260" t="s">
        <v>91</v>
      </c>
      <c r="D65" s="260" t="s">
        <v>88</v>
      </c>
    </row>
    <row r="66" spans="1:8">
      <c r="A66" s="251" t="s">
        <v>173</v>
      </c>
      <c r="B66" s="252"/>
      <c r="C66" s="253"/>
      <c r="D66" s="253"/>
      <c r="G66" s="271"/>
    </row>
    <row r="67" spans="1:8">
      <c r="A67" s="272" t="s">
        <v>100</v>
      </c>
      <c r="B67" s="262">
        <f>(10000*17)</f>
        <v>170000</v>
      </c>
      <c r="C67" s="273" t="s">
        <v>167</v>
      </c>
      <c r="D67" s="256" t="s">
        <v>82</v>
      </c>
      <c r="G67" s="271"/>
    </row>
    <row r="68" spans="1:8">
      <c r="A68" s="272" t="s">
        <v>101</v>
      </c>
      <c r="B68" s="262">
        <f>(0/100)*B67</f>
        <v>0</v>
      </c>
      <c r="C68" s="256" t="s">
        <v>102</v>
      </c>
      <c r="D68" s="256" t="s">
        <v>82</v>
      </c>
      <c r="F68" s="274"/>
      <c r="G68" s="271"/>
    </row>
    <row r="69" spans="1:8">
      <c r="A69" s="272" t="s">
        <v>103</v>
      </c>
      <c r="B69" s="275">
        <v>5</v>
      </c>
      <c r="C69" s="256" t="s">
        <v>167</v>
      </c>
      <c r="D69" s="256" t="s">
        <v>82</v>
      </c>
      <c r="F69" s="276"/>
      <c r="G69" s="271"/>
    </row>
    <row r="70" spans="1:8">
      <c r="A70" s="272" t="s">
        <v>104</v>
      </c>
      <c r="B70" s="290">
        <f>+B13</f>
        <v>3.25</v>
      </c>
      <c r="C70" s="256" t="s">
        <v>105</v>
      </c>
      <c r="D70" s="256" t="s">
        <v>82</v>
      </c>
      <c r="F70" s="276"/>
      <c r="G70" s="277"/>
      <c r="H70" s="276"/>
    </row>
    <row r="71" spans="1:8">
      <c r="A71" s="272" t="s">
        <v>174</v>
      </c>
      <c r="B71" s="278">
        <f>((+B70/100)*((1+B70/100)^B69))/(((1+B70/100)^B69)-1)</f>
        <v>0.21991559540858641</v>
      </c>
      <c r="C71" s="256" t="s">
        <v>175</v>
      </c>
      <c r="D71" s="256" t="s">
        <v>94</v>
      </c>
      <c r="F71" s="276"/>
      <c r="G71" s="277"/>
      <c r="H71" s="276"/>
    </row>
    <row r="72" spans="1:8">
      <c r="A72" s="258" t="s">
        <v>106</v>
      </c>
      <c r="B72" s="268">
        <f>ROUND(B71*(B67+B68),-1)</f>
        <v>37390</v>
      </c>
      <c r="C72" s="260" t="s">
        <v>107</v>
      </c>
      <c r="D72" s="260" t="s">
        <v>88</v>
      </c>
      <c r="F72" s="276"/>
      <c r="G72" s="277"/>
      <c r="H72" s="276"/>
    </row>
    <row r="73" spans="1:8">
      <c r="A73" s="251" t="s">
        <v>176</v>
      </c>
      <c r="B73" s="252"/>
      <c r="C73" s="253"/>
      <c r="D73" s="253"/>
      <c r="F73" s="276"/>
      <c r="G73" s="277"/>
      <c r="H73" s="276"/>
    </row>
    <row r="74" spans="1:8">
      <c r="A74" s="254" t="s">
        <v>108</v>
      </c>
      <c r="B74" s="262">
        <f>ROUND(0.6*(B52+B58+B65),-1)</f>
        <v>33770</v>
      </c>
      <c r="C74" s="248" t="s">
        <v>109</v>
      </c>
      <c r="D74" s="248" t="s">
        <v>94</v>
      </c>
      <c r="F74" s="276"/>
      <c r="G74" s="276"/>
      <c r="H74" s="276"/>
    </row>
    <row r="75" spans="1:8">
      <c r="A75" s="254" t="s">
        <v>110</v>
      </c>
      <c r="B75" s="264">
        <f>ROUND(0.02*B39,-1)</f>
        <v>66130</v>
      </c>
      <c r="C75" s="248" t="s">
        <v>111</v>
      </c>
      <c r="D75" s="248" t="s">
        <v>94</v>
      </c>
      <c r="F75" s="276"/>
      <c r="G75" s="276"/>
      <c r="H75" s="276"/>
    </row>
    <row r="76" spans="1:8">
      <c r="A76" s="254" t="s">
        <v>112</v>
      </c>
      <c r="B76" s="264">
        <f>ROUND(0.01*B39,-1)</f>
        <v>33070</v>
      </c>
      <c r="C76" s="248" t="s">
        <v>113</v>
      </c>
      <c r="D76" s="248" t="s">
        <v>94</v>
      </c>
      <c r="F76" s="276"/>
    </row>
    <row r="77" spans="1:8">
      <c r="A77" s="254" t="s">
        <v>114</v>
      </c>
      <c r="B77" s="264">
        <f>ROUND(0.01*B39,-1)</f>
        <v>33070</v>
      </c>
      <c r="C77" s="248" t="s">
        <v>113</v>
      </c>
      <c r="D77" s="248" t="s">
        <v>94</v>
      </c>
    </row>
    <row r="78" spans="1:8">
      <c r="A78" s="254" t="s">
        <v>115</v>
      </c>
      <c r="B78" s="262">
        <f>ROUND((B13/100*(1+B13/100)^B12)/((1+B13/100)^B12-1)*(B39-$B$67),-1)</f>
        <v>185180</v>
      </c>
      <c r="C78" s="256" t="s">
        <v>116</v>
      </c>
      <c r="D78" s="248" t="s">
        <v>94</v>
      </c>
    </row>
    <row r="79" spans="1:8" ht="13.5" thickBot="1">
      <c r="A79" s="279" t="s">
        <v>117</v>
      </c>
      <c r="B79" s="280">
        <f>SUM(B74:B78)</f>
        <v>351220</v>
      </c>
      <c r="C79" s="281"/>
      <c r="D79" s="281"/>
    </row>
    <row r="80" spans="1:8" ht="13.5" thickTop="1">
      <c r="A80" s="228" t="s">
        <v>118</v>
      </c>
      <c r="B80" s="282">
        <f>ROUND(+B79+B72+B65+B58+B56,-2)</f>
        <v>1955900</v>
      </c>
      <c r="C80" s="283"/>
      <c r="D80" s="283"/>
    </row>
    <row r="81" spans="1:4">
      <c r="A81" s="228" t="s">
        <v>177</v>
      </c>
      <c r="B81" s="284">
        <f>+B6/100*B17</f>
        <v>0.89100000000000001</v>
      </c>
      <c r="C81" s="283"/>
      <c r="D81" s="283"/>
    </row>
    <row r="82" spans="1:4">
      <c r="A82" s="236" t="s">
        <v>178</v>
      </c>
      <c r="B82" s="285">
        <f>ROUND((B80/B81), -2)</f>
        <v>2195200</v>
      </c>
      <c r="C82" s="283"/>
      <c r="D82" s="283"/>
    </row>
    <row r="83" spans="1:4">
      <c r="C83" s="202"/>
      <c r="D83" s="202"/>
    </row>
    <row r="84" spans="1:4">
      <c r="C84" s="202"/>
      <c r="D84" s="202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paperSize="1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95"/>
  <sheetViews>
    <sheetView workbookViewId="0">
      <selection activeCell="C6" sqref="C6"/>
    </sheetView>
  </sheetViews>
  <sheetFormatPr defaultColWidth="8" defaultRowHeight="12.75"/>
  <cols>
    <col min="1" max="1" width="19.140625" style="106" customWidth="1"/>
    <col min="2" max="2" width="2.42578125" style="106" customWidth="1"/>
    <col min="3" max="3" width="40.85546875" style="106" customWidth="1"/>
    <col min="4" max="4" width="7.140625" style="106" customWidth="1"/>
    <col min="5" max="5" width="2" style="106" customWidth="1"/>
    <col min="6" max="6" width="12.140625" style="107" customWidth="1"/>
    <col min="7" max="7" width="1" style="106" customWidth="1"/>
    <col min="8" max="8" width="18.7109375" style="106" customWidth="1"/>
    <col min="9" max="9" width="12.28515625" style="106" customWidth="1"/>
    <col min="10" max="16384" width="8" style="106"/>
  </cols>
  <sheetData>
    <row r="2" spans="1:7">
      <c r="A2" s="105" t="s">
        <v>124</v>
      </c>
    </row>
    <row r="3" spans="1:7">
      <c r="A3" s="105"/>
    </row>
    <row r="4" spans="1:7" s="112" customFormat="1" ht="15" customHeight="1">
      <c r="A4" s="108" t="s">
        <v>0</v>
      </c>
      <c r="B4" s="109"/>
      <c r="C4" s="110" t="s">
        <v>125</v>
      </c>
      <c r="D4" s="111"/>
      <c r="E4" s="111"/>
      <c r="F4" s="111"/>
      <c r="G4" s="111"/>
    </row>
    <row r="5" spans="1:7" s="112" customFormat="1" ht="15.75">
      <c r="A5" s="108" t="s">
        <v>1</v>
      </c>
      <c r="B5" s="109"/>
      <c r="C5" s="113"/>
      <c r="D5" s="111"/>
      <c r="E5" s="111"/>
      <c r="F5" s="111"/>
      <c r="G5" s="111"/>
    </row>
    <row r="6" spans="1:7" s="112" customFormat="1" ht="15.75">
      <c r="A6" s="108" t="s">
        <v>2</v>
      </c>
      <c r="B6" s="109"/>
      <c r="C6" s="113">
        <v>118.26</v>
      </c>
      <c r="D6" s="111"/>
      <c r="E6" s="111"/>
      <c r="F6" s="111"/>
      <c r="G6" s="111"/>
    </row>
    <row r="7" spans="1:7" s="112" customFormat="1" ht="15.75">
      <c r="A7" s="108" t="s">
        <v>3</v>
      </c>
      <c r="B7" s="109"/>
      <c r="C7" s="114">
        <f>0.33</f>
        <v>0.33</v>
      </c>
      <c r="D7" s="115" t="s">
        <v>126</v>
      </c>
      <c r="E7" s="111"/>
      <c r="F7" s="111"/>
      <c r="G7" s="111"/>
    </row>
    <row r="8" spans="1:7" ht="13.5">
      <c r="A8" s="112" t="s">
        <v>4</v>
      </c>
      <c r="B8" s="116"/>
      <c r="C8" s="117"/>
      <c r="D8" s="117"/>
      <c r="E8" s="117"/>
      <c r="F8" s="118"/>
      <c r="G8" s="117"/>
    </row>
    <row r="9" spans="1:7">
      <c r="A9" s="119"/>
      <c r="B9" s="120"/>
      <c r="C9" s="121"/>
      <c r="D9" s="122"/>
      <c r="E9" s="121"/>
      <c r="F9" s="123"/>
      <c r="G9" s="122"/>
    </row>
    <row r="10" spans="1:7">
      <c r="A10" s="124"/>
      <c r="B10" s="125"/>
      <c r="C10" s="126" t="s">
        <v>5</v>
      </c>
      <c r="D10" s="127"/>
      <c r="E10" s="128"/>
      <c r="F10" s="129" t="s">
        <v>6</v>
      </c>
      <c r="G10" s="127"/>
    </row>
    <row r="11" spans="1:7">
      <c r="A11" s="130"/>
      <c r="B11" s="131"/>
      <c r="C11" s="132"/>
      <c r="D11" s="133"/>
      <c r="E11" s="132"/>
      <c r="F11" s="134"/>
      <c r="G11" s="135"/>
    </row>
    <row r="12" spans="1:7">
      <c r="A12" s="124"/>
      <c r="B12" s="125"/>
      <c r="C12" s="128"/>
      <c r="D12" s="127"/>
      <c r="E12" s="128"/>
      <c r="F12" s="129"/>
      <c r="G12" s="136"/>
    </row>
    <row r="13" spans="1:7">
      <c r="A13" s="124"/>
      <c r="B13" s="126"/>
      <c r="C13" s="125"/>
      <c r="D13" s="136"/>
      <c r="E13" s="125"/>
      <c r="F13" s="118"/>
      <c r="G13" s="136"/>
    </row>
    <row r="14" spans="1:7">
      <c r="A14" s="137" t="s">
        <v>7</v>
      </c>
      <c r="B14" s="138"/>
      <c r="C14" s="125"/>
      <c r="D14" s="136"/>
      <c r="E14" s="125"/>
      <c r="F14" s="118"/>
      <c r="G14" s="136"/>
    </row>
    <row r="15" spans="1:7">
      <c r="A15" s="124"/>
      <c r="B15" s="125"/>
      <c r="C15" s="138" t="s">
        <v>8</v>
      </c>
      <c r="D15" s="136"/>
      <c r="E15" s="125"/>
      <c r="F15" s="118"/>
      <c r="G15" s="136"/>
    </row>
    <row r="16" spans="1:7">
      <c r="A16" s="124"/>
      <c r="B16" s="125"/>
      <c r="C16" s="125" t="s">
        <v>127</v>
      </c>
      <c r="D16" s="136"/>
      <c r="E16" s="125"/>
      <c r="F16" s="139"/>
      <c r="G16" s="136"/>
    </row>
    <row r="17" spans="1:9">
      <c r="A17" s="124"/>
      <c r="B17" s="125"/>
      <c r="C17" s="125" t="s">
        <v>10</v>
      </c>
      <c r="D17" s="136"/>
      <c r="E17" s="125"/>
      <c r="F17" s="118"/>
      <c r="G17" s="136"/>
    </row>
    <row r="18" spans="1:9">
      <c r="A18" s="124"/>
      <c r="B18" s="125"/>
      <c r="C18" s="125" t="s">
        <v>11</v>
      </c>
      <c r="D18" s="136"/>
      <c r="E18" s="125"/>
      <c r="F18" s="118"/>
      <c r="G18" s="136"/>
    </row>
    <row r="19" spans="1:9">
      <c r="A19" s="124"/>
      <c r="B19" s="125"/>
      <c r="C19" s="125" t="s">
        <v>12</v>
      </c>
      <c r="D19" s="136"/>
      <c r="E19" s="125"/>
      <c r="F19" s="140"/>
      <c r="G19" s="136"/>
    </row>
    <row r="20" spans="1:9">
      <c r="A20" s="124"/>
      <c r="B20" s="125"/>
      <c r="C20" s="125"/>
      <c r="D20" s="136"/>
      <c r="E20" s="125"/>
      <c r="F20" s="118"/>
      <c r="G20" s="136"/>
    </row>
    <row r="21" spans="1:9" ht="13.5">
      <c r="A21" s="124"/>
      <c r="B21" s="125"/>
      <c r="C21" s="141" t="s">
        <v>13</v>
      </c>
      <c r="D21" s="142"/>
      <c r="E21" s="143"/>
      <c r="F21" s="144">
        <f>1500*1.0851</f>
        <v>1627.6499999999999</v>
      </c>
      <c r="G21" s="136"/>
      <c r="H21" s="106" t="s">
        <v>128</v>
      </c>
      <c r="I21" s="199" t="s">
        <v>130</v>
      </c>
    </row>
    <row r="22" spans="1:9">
      <c r="A22" s="124"/>
      <c r="B22" s="125"/>
      <c r="C22" s="125"/>
      <c r="D22" s="136"/>
      <c r="E22" s="125"/>
      <c r="F22" s="118"/>
      <c r="G22" s="136"/>
    </row>
    <row r="23" spans="1:9">
      <c r="A23" s="124"/>
      <c r="B23" s="125"/>
      <c r="C23" s="138" t="s">
        <v>14</v>
      </c>
      <c r="D23" s="136"/>
      <c r="E23" s="125"/>
      <c r="F23" s="118"/>
      <c r="G23" s="136"/>
    </row>
    <row r="24" spans="1:9">
      <c r="A24" s="124"/>
      <c r="B24" s="125"/>
      <c r="C24" s="145" t="s">
        <v>129</v>
      </c>
      <c r="D24" s="136"/>
      <c r="E24" s="125"/>
      <c r="F24" s="118">
        <f>3856*1.0851</f>
        <v>4184.1455999999998</v>
      </c>
      <c r="G24" s="136"/>
      <c r="H24" s="106" t="s">
        <v>128</v>
      </c>
      <c r="I24" s="199" t="s">
        <v>130</v>
      </c>
    </row>
    <row r="25" spans="1:9">
      <c r="A25" s="124"/>
      <c r="B25" s="125"/>
      <c r="C25" s="125"/>
      <c r="D25" s="136"/>
      <c r="E25" s="125"/>
      <c r="F25" s="140"/>
      <c r="G25" s="136"/>
    </row>
    <row r="26" spans="1:9" ht="13.5">
      <c r="A26" s="124"/>
      <c r="B26" s="125"/>
      <c r="C26" s="141" t="s">
        <v>17</v>
      </c>
      <c r="D26" s="142"/>
      <c r="E26" s="143"/>
      <c r="F26" s="144">
        <f>SUM(F24:F25)</f>
        <v>4184.1455999999998</v>
      </c>
      <c r="G26" s="136"/>
    </row>
    <row r="27" spans="1:9">
      <c r="A27" s="124"/>
      <c r="B27" s="125"/>
      <c r="C27" s="125"/>
      <c r="D27" s="136"/>
      <c r="E27" s="125"/>
      <c r="F27" s="118"/>
      <c r="G27" s="136"/>
    </row>
    <row r="28" spans="1:9">
      <c r="A28" s="137" t="s">
        <v>18</v>
      </c>
      <c r="B28" s="138"/>
      <c r="C28" s="125"/>
      <c r="D28" s="136"/>
      <c r="E28" s="125"/>
      <c r="F28" s="129"/>
      <c r="G28" s="136"/>
    </row>
    <row r="29" spans="1:9">
      <c r="A29" s="137"/>
      <c r="B29" s="138"/>
      <c r="C29" s="125"/>
      <c r="D29" s="136"/>
      <c r="E29" s="125"/>
      <c r="F29" s="118"/>
      <c r="G29" s="136"/>
    </row>
    <row r="30" spans="1:9">
      <c r="A30" s="137" t="s">
        <v>19</v>
      </c>
      <c r="B30" s="138"/>
      <c r="C30" s="125"/>
      <c r="D30" s="136"/>
      <c r="E30" s="125"/>
      <c r="F30" s="118"/>
      <c r="G30" s="136"/>
    </row>
    <row r="31" spans="1:9">
      <c r="A31" s="124"/>
      <c r="B31" s="125"/>
      <c r="C31" s="125" t="s">
        <v>20</v>
      </c>
      <c r="D31" s="136"/>
      <c r="E31" s="125"/>
      <c r="F31" s="118"/>
      <c r="G31" s="136"/>
    </row>
    <row r="32" spans="1:9">
      <c r="A32" s="124"/>
      <c r="B32" s="125"/>
      <c r="C32" s="125" t="s">
        <v>21</v>
      </c>
      <c r="D32" s="136"/>
      <c r="E32" s="125"/>
      <c r="F32" s="118"/>
      <c r="G32" s="136"/>
    </row>
    <row r="33" spans="1:7">
      <c r="A33" s="124"/>
      <c r="B33" s="125"/>
      <c r="C33" s="125" t="s">
        <v>22</v>
      </c>
      <c r="D33" s="136"/>
      <c r="E33" s="125"/>
      <c r="F33" s="118"/>
      <c r="G33" s="136"/>
    </row>
    <row r="34" spans="1:7">
      <c r="A34" s="124"/>
      <c r="B34" s="125"/>
      <c r="C34" s="125" t="s">
        <v>23</v>
      </c>
      <c r="D34" s="136"/>
      <c r="E34" s="125"/>
      <c r="F34" s="118"/>
      <c r="G34" s="136"/>
    </row>
    <row r="35" spans="1:7">
      <c r="A35" s="124"/>
      <c r="B35" s="125"/>
      <c r="C35" s="125" t="s">
        <v>24</v>
      </c>
      <c r="D35" s="136"/>
      <c r="E35" s="125"/>
      <c r="F35" s="140"/>
      <c r="G35" s="136"/>
    </row>
    <row r="36" spans="1:7">
      <c r="A36" s="124"/>
      <c r="B36" s="125"/>
      <c r="C36" s="125"/>
      <c r="D36" s="136"/>
      <c r="E36" s="125"/>
      <c r="F36" s="118"/>
      <c r="G36" s="136"/>
    </row>
    <row r="37" spans="1:7">
      <c r="A37" s="137" t="s">
        <v>25</v>
      </c>
      <c r="B37" s="138"/>
      <c r="C37" s="125"/>
      <c r="D37" s="136"/>
      <c r="E37" s="125"/>
      <c r="F37" s="129">
        <f>SUM(F31:F35)</f>
        <v>0</v>
      </c>
      <c r="G37" s="136"/>
    </row>
    <row r="38" spans="1:7">
      <c r="A38" s="137"/>
      <c r="B38" s="138"/>
      <c r="C38" s="125"/>
      <c r="D38" s="136"/>
      <c r="E38" s="125"/>
      <c r="F38" s="129"/>
      <c r="G38" s="136"/>
    </row>
    <row r="39" spans="1:7">
      <c r="A39" s="124"/>
      <c r="B39" s="125"/>
      <c r="C39" s="125"/>
      <c r="D39" s="136"/>
      <c r="E39" s="125"/>
      <c r="F39" s="118"/>
      <c r="G39" s="136"/>
    </row>
    <row r="40" spans="1:7" ht="15.75">
      <c r="A40" s="146" t="s">
        <v>26</v>
      </c>
      <c r="B40" s="147"/>
      <c r="C40" s="148"/>
      <c r="D40" s="149"/>
      <c r="E40" s="148"/>
      <c r="F40" s="150">
        <f>F21+F26+F37</f>
        <v>5811.7955999999995</v>
      </c>
      <c r="G40" s="149"/>
    </row>
    <row r="41" spans="1:7">
      <c r="D41" s="128"/>
      <c r="E41" s="128"/>
      <c r="F41" s="129"/>
      <c r="G41" s="151"/>
    </row>
    <row r="42" spans="1:7">
      <c r="A42" s="119"/>
      <c r="B42" s="121"/>
      <c r="C42" s="120"/>
      <c r="D42" s="152"/>
      <c r="E42" s="120"/>
      <c r="F42" s="123"/>
      <c r="G42" s="122"/>
    </row>
    <row r="43" spans="1:7">
      <c r="A43" s="124"/>
      <c r="B43" s="128" t="s">
        <v>27</v>
      </c>
      <c r="C43" s="126" t="s">
        <v>5</v>
      </c>
      <c r="D43" s="127"/>
      <c r="E43" s="128"/>
      <c r="F43" s="129" t="s">
        <v>6</v>
      </c>
      <c r="G43" s="127"/>
    </row>
    <row r="44" spans="1:7">
      <c r="A44" s="130"/>
      <c r="B44" s="131"/>
      <c r="C44" s="132"/>
      <c r="D44" s="133"/>
      <c r="E44" s="132"/>
      <c r="F44" s="134"/>
      <c r="G44" s="135"/>
    </row>
    <row r="45" spans="1:7">
      <c r="A45" s="153"/>
      <c r="B45" s="125"/>
      <c r="C45" s="125"/>
      <c r="D45" s="125"/>
      <c r="E45" s="124"/>
      <c r="F45" s="118"/>
      <c r="G45" s="154"/>
    </row>
    <row r="46" spans="1:7">
      <c r="A46" s="137" t="s">
        <v>28</v>
      </c>
      <c r="B46" s="125"/>
      <c r="C46" s="125"/>
      <c r="D46" s="125"/>
      <c r="E46" s="124"/>
      <c r="F46" s="118"/>
      <c r="G46" s="154"/>
    </row>
    <row r="47" spans="1:7">
      <c r="A47" s="124"/>
      <c r="B47" s="138" t="s">
        <v>29</v>
      </c>
      <c r="D47" s="125"/>
      <c r="E47" s="124"/>
      <c r="F47" s="118"/>
      <c r="G47" s="154"/>
    </row>
    <row r="48" spans="1:7" s="160" customFormat="1">
      <c r="A48" s="155"/>
      <c r="B48" s="156"/>
      <c r="C48" s="157" t="s">
        <v>30</v>
      </c>
      <c r="D48" s="157"/>
      <c r="E48" s="158"/>
      <c r="F48" s="139">
        <v>0</v>
      </c>
      <c r="G48" s="159"/>
    </row>
    <row r="49" spans="1:7" s="160" customFormat="1">
      <c r="A49" s="155"/>
      <c r="B49" s="156"/>
      <c r="C49" s="157" t="s">
        <v>31</v>
      </c>
      <c r="D49" s="157"/>
      <c r="E49" s="158"/>
      <c r="F49" s="139">
        <v>0</v>
      </c>
      <c r="G49" s="159"/>
    </row>
    <row r="50" spans="1:7" s="163" customFormat="1">
      <c r="A50" s="158"/>
      <c r="B50" s="157"/>
      <c r="C50" s="157" t="s">
        <v>32</v>
      </c>
      <c r="D50" s="157"/>
      <c r="E50" s="158"/>
      <c r="F50" s="161">
        <f>F40*0.0275</f>
        <v>159.82437899999999</v>
      </c>
      <c r="G50" s="162"/>
    </row>
    <row r="51" spans="1:7" s="163" customFormat="1">
      <c r="A51" s="158"/>
      <c r="D51" s="164"/>
      <c r="F51" s="165"/>
      <c r="G51" s="162"/>
    </row>
    <row r="52" spans="1:7" s="163" customFormat="1" ht="13.5">
      <c r="A52" s="158"/>
      <c r="B52" s="166" t="s">
        <v>33</v>
      </c>
      <c r="C52" s="167"/>
      <c r="D52" s="168"/>
      <c r="E52" s="169"/>
      <c r="F52" s="170">
        <f>F48+F49+F50</f>
        <v>159.82437899999999</v>
      </c>
      <c r="G52" s="162"/>
    </row>
    <row r="53" spans="1:7" s="163" customFormat="1">
      <c r="A53" s="158"/>
      <c r="D53" s="157"/>
      <c r="E53" s="158"/>
      <c r="F53" s="139"/>
      <c r="G53" s="162"/>
    </row>
    <row r="54" spans="1:7" s="163" customFormat="1">
      <c r="A54" s="158"/>
      <c r="B54" s="171"/>
      <c r="C54" s="157"/>
      <c r="D54" s="157"/>
      <c r="E54" s="158"/>
      <c r="F54" s="139"/>
      <c r="G54" s="162"/>
    </row>
    <row r="55" spans="1:7" s="163" customFormat="1">
      <c r="A55" s="158"/>
      <c r="B55" s="157"/>
      <c r="C55" s="157"/>
      <c r="D55" s="157"/>
      <c r="E55" s="158"/>
      <c r="F55" s="139"/>
      <c r="G55" s="162"/>
    </row>
    <row r="56" spans="1:7" s="163" customFormat="1">
      <c r="A56" s="158"/>
      <c r="B56" s="171" t="s">
        <v>34</v>
      </c>
      <c r="D56" s="157"/>
      <c r="E56" s="158"/>
      <c r="F56" s="139"/>
      <c r="G56" s="162"/>
    </row>
    <row r="57" spans="1:7" s="163" customFormat="1">
      <c r="A57" s="158"/>
      <c r="B57" s="157"/>
      <c r="C57" s="157"/>
      <c r="D57" s="157"/>
      <c r="E57" s="158"/>
      <c r="F57" s="139"/>
      <c r="G57" s="162"/>
    </row>
    <row r="58" spans="1:7" s="163" customFormat="1">
      <c r="A58" s="158"/>
      <c r="B58" s="157"/>
      <c r="C58" s="157"/>
      <c r="D58" s="157"/>
      <c r="E58" s="158"/>
      <c r="F58" s="161"/>
      <c r="G58" s="162"/>
    </row>
    <row r="59" spans="1:7">
      <c r="A59" s="137"/>
      <c r="B59" s="125"/>
      <c r="C59" s="125"/>
      <c r="D59" s="125"/>
      <c r="E59" s="124"/>
      <c r="F59" s="118"/>
      <c r="G59" s="154"/>
    </row>
    <row r="60" spans="1:7" ht="13.5">
      <c r="A60" s="137"/>
      <c r="B60" s="172" t="s">
        <v>35</v>
      </c>
      <c r="C60" s="105"/>
      <c r="D60" s="173"/>
      <c r="E60" s="153"/>
      <c r="F60" s="129">
        <f>SUM(F57:F58)</f>
        <v>0</v>
      </c>
      <c r="G60" s="154"/>
    </row>
    <row r="61" spans="1:7">
      <c r="A61" s="137"/>
      <c r="B61" s="125"/>
      <c r="C61" s="125"/>
      <c r="D61" s="125"/>
      <c r="E61" s="124"/>
      <c r="F61" s="118"/>
      <c r="G61" s="154"/>
    </row>
    <row r="62" spans="1:7" ht="16.5" customHeight="1">
      <c r="A62" s="146" t="s">
        <v>36</v>
      </c>
      <c r="B62" s="148"/>
      <c r="C62" s="148"/>
      <c r="D62" s="174"/>
      <c r="E62" s="175"/>
      <c r="F62" s="150">
        <f>F52+F60</f>
        <v>159.82437899999999</v>
      </c>
      <c r="G62" s="176"/>
    </row>
    <row r="63" spans="1:7" ht="13.5">
      <c r="A63" s="177"/>
      <c r="B63" s="120"/>
      <c r="C63" s="120"/>
      <c r="D63" s="120"/>
      <c r="E63" s="120"/>
      <c r="F63" s="178"/>
      <c r="G63" s="179"/>
    </row>
    <row r="64" spans="1:7">
      <c r="A64" s="119"/>
      <c r="B64" s="120"/>
      <c r="C64" s="121"/>
      <c r="D64" s="122"/>
      <c r="E64" s="121"/>
      <c r="F64" s="123"/>
      <c r="G64" s="122"/>
    </row>
    <row r="65" spans="1:7">
      <c r="A65" s="124"/>
      <c r="B65" s="125"/>
      <c r="C65" s="126" t="s">
        <v>5</v>
      </c>
      <c r="D65" s="127"/>
      <c r="E65" s="128"/>
      <c r="F65" s="129" t="s">
        <v>6</v>
      </c>
      <c r="G65" s="127"/>
    </row>
    <row r="66" spans="1:7">
      <c r="A66" s="130"/>
      <c r="B66" s="131"/>
      <c r="C66" s="132"/>
      <c r="D66" s="133"/>
      <c r="E66" s="132"/>
      <c r="F66" s="134"/>
      <c r="G66" s="135"/>
    </row>
    <row r="67" spans="1:7">
      <c r="A67" s="153"/>
      <c r="B67" s="125"/>
      <c r="C67" s="125"/>
      <c r="D67" s="136"/>
      <c r="E67" s="125"/>
      <c r="F67" s="118"/>
      <c r="G67" s="154"/>
    </row>
    <row r="68" spans="1:7">
      <c r="A68" s="137" t="s">
        <v>37</v>
      </c>
      <c r="B68" s="125"/>
      <c r="C68" s="125"/>
      <c r="D68" s="136"/>
      <c r="E68" s="125"/>
      <c r="F68" s="118"/>
      <c r="G68" s="154"/>
    </row>
    <row r="69" spans="1:7">
      <c r="A69" s="124"/>
      <c r="B69" s="125"/>
      <c r="C69" s="125" t="s">
        <v>38</v>
      </c>
      <c r="D69" s="136"/>
      <c r="E69" s="125"/>
      <c r="F69" s="118">
        <v>0</v>
      </c>
      <c r="G69" s="154"/>
    </row>
    <row r="70" spans="1:7">
      <c r="A70" s="124"/>
      <c r="B70" s="125"/>
      <c r="C70" s="125" t="s">
        <v>39</v>
      </c>
      <c r="D70" s="136"/>
      <c r="E70" s="125"/>
      <c r="F70" s="118">
        <v>0</v>
      </c>
      <c r="G70" s="154"/>
    </row>
    <row r="71" spans="1:7">
      <c r="A71" s="124"/>
      <c r="B71" s="125"/>
      <c r="C71" s="125" t="s">
        <v>40</v>
      </c>
      <c r="D71" s="136"/>
      <c r="E71" s="125"/>
      <c r="F71" s="118">
        <v>0</v>
      </c>
      <c r="G71" s="154"/>
    </row>
    <row r="72" spans="1:7">
      <c r="A72" s="124"/>
      <c r="B72" s="125"/>
      <c r="C72" s="125" t="s">
        <v>41</v>
      </c>
      <c r="D72" s="136"/>
      <c r="E72" s="125"/>
      <c r="F72" s="140">
        <v>0</v>
      </c>
      <c r="G72" s="154"/>
    </row>
    <row r="73" spans="1:7">
      <c r="A73" s="124"/>
      <c r="B73" s="125"/>
      <c r="C73" s="125"/>
      <c r="D73" s="136"/>
      <c r="E73" s="125"/>
      <c r="F73" s="118"/>
      <c r="G73" s="154"/>
    </row>
    <row r="74" spans="1:7">
      <c r="A74" s="137" t="s">
        <v>25</v>
      </c>
      <c r="B74" s="125"/>
      <c r="C74" s="125"/>
      <c r="D74" s="136"/>
      <c r="E74" s="125"/>
      <c r="F74" s="118">
        <f>SUM(F69:F72)</f>
        <v>0</v>
      </c>
      <c r="G74" s="154"/>
    </row>
    <row r="75" spans="1:7">
      <c r="A75" s="124"/>
      <c r="B75" s="125"/>
      <c r="C75" s="125"/>
      <c r="D75" s="136"/>
      <c r="E75" s="125"/>
      <c r="F75" s="118"/>
      <c r="G75" s="154"/>
    </row>
    <row r="76" spans="1:7" ht="13.5">
      <c r="A76" s="180" t="s">
        <v>42</v>
      </c>
      <c r="B76" s="126"/>
      <c r="C76" s="126"/>
      <c r="D76" s="181"/>
      <c r="E76" s="126"/>
      <c r="F76" s="129">
        <f>+F74+F62</f>
        <v>159.82437899999999</v>
      </c>
      <c r="G76" s="154"/>
    </row>
    <row r="77" spans="1:7">
      <c r="A77" s="137"/>
      <c r="B77" s="125"/>
      <c r="C77" s="125"/>
      <c r="D77" s="136"/>
      <c r="E77" s="125"/>
      <c r="F77" s="118"/>
      <c r="G77" s="154"/>
    </row>
    <row r="78" spans="1:7">
      <c r="A78" s="137" t="s">
        <v>43</v>
      </c>
      <c r="B78" s="125"/>
      <c r="C78" s="125"/>
      <c r="D78" s="136"/>
      <c r="E78" s="125"/>
      <c r="G78" s="154"/>
    </row>
    <row r="79" spans="1:7">
      <c r="A79" s="137"/>
      <c r="B79" s="125"/>
      <c r="C79" s="182" t="s">
        <v>44</v>
      </c>
      <c r="D79" s="136">
        <v>25</v>
      </c>
      <c r="E79" s="125"/>
      <c r="F79" s="118"/>
      <c r="G79" s="154"/>
    </row>
    <row r="80" spans="1:7">
      <c r="A80" s="137"/>
      <c r="B80" s="125"/>
      <c r="C80" s="182" t="s">
        <v>45</v>
      </c>
      <c r="D80" s="136">
        <v>3.25</v>
      </c>
      <c r="E80" s="125"/>
      <c r="F80" s="118"/>
      <c r="G80" s="154"/>
    </row>
    <row r="81" spans="1:7">
      <c r="A81" s="137"/>
      <c r="B81" s="125"/>
      <c r="C81" s="125" t="s">
        <v>46</v>
      </c>
      <c r="D81" s="136"/>
      <c r="E81" s="125"/>
      <c r="F81" s="183">
        <f>(D80/100*(1+D80/100)^D79/((1+D80/100)^D79-1))</f>
        <v>5.9039325274868763E-2</v>
      </c>
      <c r="G81" s="154"/>
    </row>
    <row r="82" spans="1:7">
      <c r="A82" s="137"/>
      <c r="B82" s="125"/>
      <c r="C82" s="125"/>
      <c r="D82" s="136"/>
      <c r="E82" s="125"/>
      <c r="F82" s="118"/>
      <c r="G82" s="154"/>
    </row>
    <row r="83" spans="1:7">
      <c r="A83" s="137" t="s">
        <v>47</v>
      </c>
      <c r="B83" s="125"/>
      <c r="C83" s="125"/>
      <c r="D83" s="136"/>
      <c r="E83" s="125"/>
      <c r="F83" s="118"/>
      <c r="G83" s="154"/>
    </row>
    <row r="84" spans="1:7">
      <c r="A84" s="137"/>
      <c r="B84" s="125"/>
      <c r="C84" s="138" t="s">
        <v>48</v>
      </c>
      <c r="D84" s="136"/>
      <c r="E84" s="125"/>
      <c r="F84" s="118">
        <f>F40</f>
        <v>5811.7955999999995</v>
      </c>
      <c r="G84" s="154"/>
    </row>
    <row r="85" spans="1:7" ht="13.5">
      <c r="A85" s="137"/>
      <c r="B85" s="125"/>
      <c r="C85" s="172"/>
      <c r="D85" s="181"/>
      <c r="E85" s="126"/>
      <c r="F85" s="129"/>
      <c r="G85" s="154"/>
    </row>
    <row r="86" spans="1:7" ht="14.25" thickBot="1">
      <c r="A86" s="137"/>
      <c r="B86" s="125"/>
      <c r="C86" s="172" t="s">
        <v>49</v>
      </c>
      <c r="D86" s="181"/>
      <c r="E86" s="126"/>
      <c r="F86" s="129">
        <f>F84*F81</f>
        <v>343.12449085945104</v>
      </c>
      <c r="G86" s="154"/>
    </row>
    <row r="87" spans="1:7">
      <c r="A87" s="184"/>
      <c r="B87" s="185"/>
      <c r="C87" s="185"/>
      <c r="D87" s="186"/>
      <c r="E87" s="185"/>
      <c r="F87" s="187"/>
      <c r="G87" s="188"/>
    </row>
    <row r="88" spans="1:7" ht="13.5">
      <c r="A88" s="180" t="s">
        <v>50</v>
      </c>
      <c r="B88" s="125"/>
      <c r="C88" s="125"/>
      <c r="D88" s="136"/>
      <c r="E88" s="125"/>
      <c r="F88" s="286">
        <f>F76+F86</f>
        <v>502.94886985945107</v>
      </c>
      <c r="G88" s="154"/>
    </row>
    <row r="89" spans="1:7" ht="14.25" thickBot="1">
      <c r="A89" s="180" t="s">
        <v>51</v>
      </c>
      <c r="B89" s="125"/>
      <c r="C89" s="125"/>
      <c r="D89" s="136"/>
      <c r="E89" s="125"/>
      <c r="F89" s="129"/>
      <c r="G89" s="154"/>
    </row>
    <row r="90" spans="1:7" ht="13.5">
      <c r="A90" s="189"/>
      <c r="B90" s="185"/>
      <c r="C90" s="185"/>
      <c r="D90" s="186"/>
      <c r="E90" s="185"/>
      <c r="F90" s="190"/>
      <c r="G90" s="188"/>
    </row>
    <row r="91" spans="1:7" s="160" customFormat="1" ht="14.25" thickBot="1">
      <c r="A91" s="191" t="s">
        <v>52</v>
      </c>
      <c r="B91" s="156"/>
      <c r="C91" s="156"/>
      <c r="D91" s="192"/>
      <c r="E91" s="156"/>
      <c r="F91" s="170">
        <f>C6*C7</f>
        <v>39.025800000000004</v>
      </c>
      <c r="G91" s="159"/>
    </row>
    <row r="92" spans="1:7" ht="13.5">
      <c r="A92" s="189" t="s">
        <v>53</v>
      </c>
      <c r="B92" s="185"/>
      <c r="C92" s="185"/>
      <c r="D92" s="186"/>
      <c r="E92" s="185"/>
      <c r="F92" s="190"/>
      <c r="G92" s="188"/>
    </row>
    <row r="93" spans="1:7" ht="13.5">
      <c r="A93" s="180"/>
      <c r="B93" s="125"/>
      <c r="C93" s="126" t="s">
        <v>54</v>
      </c>
      <c r="D93" s="181"/>
      <c r="E93" s="126"/>
      <c r="F93" s="129"/>
      <c r="G93" s="154"/>
    </row>
    <row r="94" spans="1:7" ht="14.25" thickBot="1">
      <c r="A94" s="193"/>
      <c r="B94" s="194"/>
      <c r="C94" s="195" t="s">
        <v>55</v>
      </c>
      <c r="D94" s="196"/>
      <c r="E94" s="195"/>
      <c r="F94" s="197">
        <f>ROUND(F88*1000/F91,)</f>
        <v>12888</v>
      </c>
      <c r="G94" s="198"/>
    </row>
    <row r="95" spans="1:7" ht="13.5">
      <c r="A95" s="177"/>
    </row>
  </sheetData>
  <pageMargins left="0.25" right="0.25" top="0" bottom="0" header="0.3" footer="0.3"/>
  <pageSetup paperSize="1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6"/>
  <sheetViews>
    <sheetView view="pageBreakPreview" topLeftCell="A61" zoomScaleNormal="100" zoomScaleSheetLayoutView="100" workbookViewId="0">
      <selection activeCell="J82" sqref="J82"/>
    </sheetView>
  </sheetViews>
  <sheetFormatPr defaultColWidth="8" defaultRowHeight="12.75"/>
  <cols>
    <col min="1" max="1" width="17.5703125" style="3" customWidth="1"/>
    <col min="2" max="2" width="8.42578125" style="3" customWidth="1"/>
    <col min="3" max="3" width="42.42578125" style="3" customWidth="1"/>
    <col min="4" max="4" width="8.7109375" style="3" customWidth="1"/>
    <col min="5" max="5" width="2.5703125" style="3" customWidth="1"/>
    <col min="6" max="6" width="13.140625" style="4" customWidth="1"/>
    <col min="7" max="7" width="0.28515625" style="3" customWidth="1"/>
    <col min="8" max="16384" width="8" style="3"/>
  </cols>
  <sheetData>
    <row r="1" spans="1:14" ht="13.15" customHeight="1">
      <c r="D1" s="1" t="s">
        <v>120</v>
      </c>
    </row>
    <row r="2" spans="1:14" ht="15">
      <c r="D2" s="2" t="s">
        <v>119</v>
      </c>
    </row>
    <row r="3" spans="1:14" ht="15">
      <c r="D3" s="5" t="s">
        <v>121</v>
      </c>
    </row>
    <row r="5" spans="1:14">
      <c r="A5" s="6"/>
    </row>
    <row r="6" spans="1:14" s="11" customFormat="1" ht="15" customHeight="1">
      <c r="A6" s="7" t="s">
        <v>0</v>
      </c>
      <c r="B6" s="8"/>
      <c r="C6" s="9" t="s">
        <v>56</v>
      </c>
      <c r="D6" s="10"/>
      <c r="E6" s="10"/>
      <c r="F6" s="10"/>
      <c r="G6" s="10"/>
    </row>
    <row r="7" spans="1:14" s="11" customFormat="1" ht="15">
      <c r="A7" s="7" t="s">
        <v>1</v>
      </c>
      <c r="B7" s="8"/>
      <c r="C7" s="12">
        <v>46.728999999999999</v>
      </c>
      <c r="D7" s="10"/>
      <c r="E7" s="10"/>
      <c r="F7" s="10"/>
      <c r="G7" s="10"/>
    </row>
    <row r="8" spans="1:14" s="11" customFormat="1" ht="15">
      <c r="A8" s="7" t="s">
        <v>2</v>
      </c>
      <c r="B8" s="8"/>
      <c r="C8" s="13">
        <f>C7*(100/1020)*8760/2000</f>
        <v>20.065982352941177</v>
      </c>
      <c r="D8" s="10"/>
      <c r="E8" s="10"/>
      <c r="G8" s="10"/>
      <c r="N8" s="14"/>
    </row>
    <row r="9" spans="1:14" s="11" customFormat="1" ht="15">
      <c r="A9" s="7" t="s">
        <v>3</v>
      </c>
      <c r="B9" s="8"/>
      <c r="C9" s="15">
        <v>7.1999999999999995E-2</v>
      </c>
      <c r="D9" s="10"/>
      <c r="E9" s="10"/>
      <c r="G9" s="10"/>
    </row>
    <row r="10" spans="1:14">
      <c r="A10" s="11" t="s">
        <v>4</v>
      </c>
      <c r="B10" s="16"/>
      <c r="C10" s="17"/>
      <c r="D10" s="17"/>
      <c r="E10" s="17"/>
      <c r="F10" s="18"/>
      <c r="G10" s="17"/>
    </row>
    <row r="11" spans="1:14">
      <c r="A11" s="19"/>
      <c r="B11" s="20"/>
      <c r="C11" s="21"/>
      <c r="D11" s="22"/>
      <c r="E11" s="21"/>
      <c r="F11" s="23"/>
      <c r="G11" s="22"/>
    </row>
    <row r="12" spans="1:14">
      <c r="A12" s="24"/>
      <c r="B12" s="25"/>
      <c r="C12" s="26" t="s">
        <v>5</v>
      </c>
      <c r="D12" s="27"/>
      <c r="E12" s="28"/>
      <c r="F12" s="29" t="s">
        <v>6</v>
      </c>
      <c r="G12" s="27"/>
    </row>
    <row r="13" spans="1:14">
      <c r="A13" s="24"/>
      <c r="B13" s="25"/>
      <c r="C13" s="28"/>
      <c r="D13" s="27"/>
      <c r="E13" s="28"/>
      <c r="F13" s="29"/>
      <c r="G13" s="30"/>
    </row>
    <row r="14" spans="1:14">
      <c r="A14" s="31" t="s">
        <v>7</v>
      </c>
      <c r="B14" s="32"/>
      <c r="C14" s="25"/>
      <c r="D14" s="30"/>
      <c r="E14" s="25"/>
      <c r="F14" s="18"/>
      <c r="G14" s="30"/>
    </row>
    <row r="15" spans="1:14">
      <c r="A15" s="24"/>
      <c r="B15" s="25"/>
      <c r="C15" s="32" t="s">
        <v>8</v>
      </c>
      <c r="D15" s="30"/>
      <c r="E15" s="25"/>
      <c r="F15" s="18"/>
      <c r="G15" s="30"/>
    </row>
    <row r="16" spans="1:14">
      <c r="A16" s="24"/>
      <c r="B16" s="25"/>
      <c r="C16" s="25" t="s">
        <v>9</v>
      </c>
      <c r="D16" s="30"/>
      <c r="E16" s="25"/>
      <c r="F16" s="33"/>
      <c r="G16" s="30"/>
    </row>
    <row r="17" spans="1:10">
      <c r="A17" s="24"/>
      <c r="B17" s="25"/>
      <c r="C17" s="25" t="s">
        <v>10</v>
      </c>
      <c r="D17" s="30"/>
      <c r="E17" s="25"/>
      <c r="F17" s="18"/>
      <c r="G17" s="30"/>
    </row>
    <row r="18" spans="1:10">
      <c r="A18" s="24"/>
      <c r="B18" s="25"/>
      <c r="C18" s="25" t="s">
        <v>11</v>
      </c>
      <c r="D18" s="30"/>
      <c r="E18" s="25"/>
      <c r="F18" s="18"/>
      <c r="G18" s="30"/>
    </row>
    <row r="19" spans="1:10">
      <c r="A19" s="24"/>
      <c r="B19" s="25"/>
      <c r="C19" s="25" t="s">
        <v>12</v>
      </c>
      <c r="D19" s="30"/>
      <c r="E19" s="25"/>
      <c r="F19" s="34"/>
      <c r="G19" s="30"/>
    </row>
    <row r="20" spans="1:10">
      <c r="A20" s="24"/>
      <c r="B20" s="25"/>
      <c r="C20" s="25"/>
      <c r="D20" s="30"/>
      <c r="E20" s="25"/>
      <c r="F20" s="18"/>
      <c r="G20" s="30"/>
    </row>
    <row r="21" spans="1:10">
      <c r="A21" s="24"/>
      <c r="B21" s="25"/>
      <c r="C21" s="35" t="s">
        <v>13</v>
      </c>
      <c r="D21" s="36"/>
      <c r="E21" s="26"/>
      <c r="F21" s="29">
        <f>841*1.0851</f>
        <v>912.56909999999993</v>
      </c>
      <c r="G21" s="30"/>
      <c r="H21" s="3" t="s">
        <v>60</v>
      </c>
      <c r="J21" s="37"/>
    </row>
    <row r="22" spans="1:10">
      <c r="A22" s="24"/>
      <c r="B22" s="25"/>
      <c r="C22" s="25"/>
      <c r="D22" s="30"/>
      <c r="E22" s="25"/>
      <c r="F22" s="18"/>
      <c r="G22" s="30"/>
    </row>
    <row r="23" spans="1:10">
      <c r="A23" s="24"/>
      <c r="B23" s="25"/>
      <c r="C23" s="32" t="s">
        <v>14</v>
      </c>
      <c r="D23" s="30"/>
      <c r="E23" s="25"/>
      <c r="F23" s="18"/>
      <c r="G23" s="30"/>
    </row>
    <row r="24" spans="1:10" ht="25.5">
      <c r="A24" s="24"/>
      <c r="B24" s="25"/>
      <c r="C24" s="38" t="s">
        <v>15</v>
      </c>
      <c r="D24" s="30"/>
      <c r="E24" s="25"/>
      <c r="F24" s="18"/>
      <c r="G24" s="30"/>
    </row>
    <row r="25" spans="1:10">
      <c r="A25" s="24"/>
      <c r="B25" s="25"/>
      <c r="C25" s="25" t="s">
        <v>16</v>
      </c>
      <c r="D25" s="30"/>
      <c r="E25" s="25"/>
      <c r="F25" s="34"/>
      <c r="G25" s="30"/>
    </row>
    <row r="26" spans="1:10">
      <c r="A26" s="24"/>
      <c r="B26" s="25"/>
      <c r="C26" s="35" t="s">
        <v>17</v>
      </c>
      <c r="D26" s="36"/>
      <c r="E26" s="26"/>
      <c r="F26" s="29">
        <f>198*1.0851</f>
        <v>214.84979999999999</v>
      </c>
      <c r="G26" s="30"/>
      <c r="H26" s="3" t="s">
        <v>60</v>
      </c>
      <c r="J26" s="37"/>
    </row>
    <row r="27" spans="1:10">
      <c r="A27" s="24"/>
      <c r="B27" s="25"/>
      <c r="C27" s="25"/>
      <c r="D27" s="30"/>
      <c r="E27" s="25"/>
      <c r="F27" s="18"/>
      <c r="G27" s="30"/>
    </row>
    <row r="28" spans="1:10">
      <c r="A28" s="31" t="s">
        <v>18</v>
      </c>
      <c r="B28" s="32"/>
      <c r="C28" s="25"/>
      <c r="D28" s="30"/>
      <c r="E28" s="25"/>
      <c r="F28" s="29"/>
      <c r="G28" s="30"/>
    </row>
    <row r="29" spans="1:10">
      <c r="A29" s="31"/>
      <c r="B29" s="32"/>
      <c r="C29" s="25"/>
      <c r="D29" s="30"/>
      <c r="E29" s="25"/>
      <c r="F29" s="18"/>
      <c r="G29" s="30"/>
    </row>
    <row r="30" spans="1:10">
      <c r="A30" s="31" t="s">
        <v>19</v>
      </c>
      <c r="B30" s="32"/>
      <c r="C30" s="25"/>
      <c r="D30" s="30"/>
      <c r="E30" s="25"/>
      <c r="F30" s="18"/>
      <c r="G30" s="30"/>
    </row>
    <row r="31" spans="1:10">
      <c r="A31" s="24"/>
      <c r="B31" s="25"/>
      <c r="C31" s="25" t="s">
        <v>20</v>
      </c>
      <c r="D31" s="30"/>
      <c r="E31" s="25"/>
      <c r="F31" s="18"/>
      <c r="G31" s="30"/>
    </row>
    <row r="32" spans="1:10">
      <c r="A32" s="24"/>
      <c r="B32" s="25"/>
      <c r="C32" s="25" t="s">
        <v>21</v>
      </c>
      <c r="D32" s="30"/>
      <c r="E32" s="25"/>
      <c r="F32" s="18"/>
      <c r="G32" s="30"/>
    </row>
    <row r="33" spans="1:7">
      <c r="A33" s="24"/>
      <c r="B33" s="25"/>
      <c r="C33" s="25" t="s">
        <v>22</v>
      </c>
      <c r="D33" s="30"/>
      <c r="E33" s="25"/>
      <c r="F33" s="18"/>
      <c r="G33" s="30"/>
    </row>
    <row r="34" spans="1:7">
      <c r="A34" s="24"/>
      <c r="B34" s="25"/>
      <c r="C34" s="25" t="s">
        <v>23</v>
      </c>
      <c r="D34" s="30"/>
      <c r="E34" s="25"/>
      <c r="F34" s="18"/>
      <c r="G34" s="30"/>
    </row>
    <row r="35" spans="1:7">
      <c r="A35" s="24"/>
      <c r="B35" s="25"/>
      <c r="C35" s="25" t="s">
        <v>24</v>
      </c>
      <c r="D35" s="30"/>
      <c r="E35" s="25"/>
      <c r="F35" s="34"/>
      <c r="G35" s="30"/>
    </row>
    <row r="36" spans="1:7">
      <c r="A36" s="24"/>
      <c r="B36" s="25"/>
      <c r="C36" s="25"/>
      <c r="D36" s="30"/>
      <c r="E36" s="25"/>
      <c r="F36" s="18"/>
      <c r="G36" s="30"/>
    </row>
    <row r="37" spans="1:7">
      <c r="A37" s="31" t="s">
        <v>25</v>
      </c>
      <c r="B37" s="32"/>
      <c r="C37" s="25"/>
      <c r="D37" s="30"/>
      <c r="E37" s="25"/>
      <c r="F37" s="29">
        <f>SUM(F31:F35)</f>
        <v>0</v>
      </c>
      <c r="G37" s="30"/>
    </row>
    <row r="38" spans="1:7">
      <c r="A38" s="31"/>
      <c r="B38" s="32"/>
      <c r="C38" s="25"/>
      <c r="D38" s="30"/>
      <c r="E38" s="25"/>
      <c r="F38" s="29"/>
      <c r="G38" s="30"/>
    </row>
    <row r="39" spans="1:7">
      <c r="A39" s="24"/>
      <c r="B39" s="25"/>
      <c r="C39" s="25"/>
      <c r="D39" s="30"/>
      <c r="E39" s="25"/>
      <c r="F39" s="18"/>
      <c r="G39" s="30"/>
    </row>
    <row r="40" spans="1:7" ht="15.75">
      <c r="A40" s="39" t="s">
        <v>26</v>
      </c>
      <c r="B40" s="40"/>
      <c r="C40" s="41"/>
      <c r="D40" s="42"/>
      <c r="E40" s="41"/>
      <c r="F40" s="43">
        <f>F21+F26+F37</f>
        <v>1127.4188999999999</v>
      </c>
      <c r="G40" s="42"/>
    </row>
    <row r="41" spans="1:7">
      <c r="A41" s="19"/>
      <c r="B41" s="21"/>
      <c r="C41" s="20"/>
      <c r="D41" s="44"/>
      <c r="E41" s="20"/>
      <c r="F41" s="23"/>
      <c r="G41" s="22"/>
    </row>
    <row r="42" spans="1:7">
      <c r="A42" s="24"/>
      <c r="B42" s="28" t="s">
        <v>27</v>
      </c>
      <c r="C42" s="26" t="s">
        <v>5</v>
      </c>
      <c r="D42" s="27"/>
      <c r="E42" s="28"/>
      <c r="F42" s="29" t="s">
        <v>6</v>
      </c>
      <c r="G42" s="27"/>
    </row>
    <row r="43" spans="1:7">
      <c r="A43" s="45"/>
      <c r="B43" s="25"/>
      <c r="C43" s="25"/>
      <c r="D43" s="25"/>
      <c r="E43" s="24"/>
      <c r="F43" s="18"/>
      <c r="G43" s="46"/>
    </row>
    <row r="44" spans="1:7">
      <c r="A44" s="31" t="s">
        <v>28</v>
      </c>
      <c r="B44" s="25"/>
      <c r="C44" s="25"/>
      <c r="D44" s="25"/>
      <c r="E44" s="24"/>
      <c r="F44" s="18"/>
      <c r="G44" s="46"/>
    </row>
    <row r="45" spans="1:7">
      <c r="A45" s="24"/>
      <c r="B45" s="32" t="s">
        <v>29</v>
      </c>
      <c r="D45" s="25"/>
      <c r="E45" s="24"/>
      <c r="F45" s="18"/>
      <c r="G45" s="46"/>
    </row>
    <row r="46" spans="1:7" s="52" customFormat="1">
      <c r="A46" s="47"/>
      <c r="B46" s="48"/>
      <c r="C46" s="49" t="s">
        <v>30</v>
      </c>
      <c r="D46" s="49"/>
      <c r="E46" s="50"/>
      <c r="F46" s="33">
        <v>0</v>
      </c>
      <c r="G46" s="51"/>
    </row>
    <row r="47" spans="1:7" s="52" customFormat="1">
      <c r="A47" s="47"/>
      <c r="B47" s="48"/>
      <c r="C47" s="49" t="s">
        <v>31</v>
      </c>
      <c r="D47" s="49"/>
      <c r="E47" s="50"/>
      <c r="F47" s="33">
        <v>0</v>
      </c>
      <c r="G47" s="51"/>
    </row>
    <row r="48" spans="1:7" s="55" customFormat="1">
      <c r="A48" s="50"/>
      <c r="B48" s="49"/>
      <c r="C48" s="49" t="s">
        <v>32</v>
      </c>
      <c r="D48" s="49"/>
      <c r="E48" s="50"/>
      <c r="F48" s="53"/>
      <c r="G48" s="54"/>
    </row>
    <row r="49" spans="1:7" s="55" customFormat="1">
      <c r="A49" s="50"/>
      <c r="D49" s="56"/>
      <c r="F49" s="57"/>
      <c r="G49" s="54"/>
    </row>
    <row r="50" spans="1:7" s="55" customFormat="1">
      <c r="A50" s="50"/>
      <c r="B50" s="58" t="s">
        <v>33</v>
      </c>
      <c r="C50" s="59"/>
      <c r="D50" s="60"/>
      <c r="E50" s="61"/>
      <c r="F50" s="62">
        <f>F46+F47+F48</f>
        <v>0</v>
      </c>
      <c r="G50" s="54"/>
    </row>
    <row r="51" spans="1:7" s="55" customFormat="1">
      <c r="A51" s="50"/>
      <c r="D51" s="49"/>
      <c r="E51" s="50"/>
      <c r="F51" s="33"/>
      <c r="G51" s="54"/>
    </row>
    <row r="52" spans="1:7" s="55" customFormat="1">
      <c r="A52" s="50"/>
      <c r="B52" s="63" t="s">
        <v>34</v>
      </c>
      <c r="D52" s="49"/>
      <c r="E52" s="50"/>
      <c r="F52" s="33"/>
      <c r="G52" s="54"/>
    </row>
    <row r="53" spans="1:7" s="55" customFormat="1">
      <c r="A53" s="50"/>
      <c r="B53" s="49"/>
      <c r="C53" s="49"/>
      <c r="D53" s="49"/>
      <c r="E53" s="50"/>
      <c r="F53" s="33"/>
      <c r="G53" s="54"/>
    </row>
    <row r="54" spans="1:7" s="55" customFormat="1">
      <c r="A54" s="50"/>
      <c r="B54" s="49"/>
      <c r="C54" s="49"/>
      <c r="D54" s="49"/>
      <c r="E54" s="50"/>
      <c r="F54" s="53"/>
      <c r="G54" s="54"/>
    </row>
    <row r="55" spans="1:7">
      <c r="A55" s="31"/>
      <c r="B55" s="25"/>
      <c r="C55" s="25"/>
      <c r="D55" s="25"/>
      <c r="E55" s="24"/>
      <c r="F55" s="18"/>
      <c r="G55" s="46"/>
    </row>
    <row r="56" spans="1:7">
      <c r="A56" s="31"/>
      <c r="B56" s="35" t="s">
        <v>35</v>
      </c>
      <c r="C56" s="6"/>
      <c r="D56" s="64"/>
      <c r="E56" s="45"/>
      <c r="F56" s="29">
        <f>SUM(F53:F54)</f>
        <v>0</v>
      </c>
      <c r="G56" s="46"/>
    </row>
    <row r="57" spans="1:7">
      <c r="A57" s="31"/>
      <c r="B57" s="25"/>
      <c r="C57" s="25"/>
      <c r="D57" s="25"/>
      <c r="E57" s="24"/>
      <c r="F57" s="18"/>
      <c r="G57" s="46"/>
    </row>
    <row r="58" spans="1:7" ht="16.5" customHeight="1">
      <c r="A58" s="39" t="s">
        <v>36</v>
      </c>
      <c r="B58" s="41"/>
      <c r="C58" s="41"/>
      <c r="D58" s="65"/>
      <c r="E58" s="66"/>
      <c r="F58" s="43">
        <f>F50+F56</f>
        <v>0</v>
      </c>
      <c r="G58" s="67"/>
    </row>
    <row r="59" spans="1:7" ht="13.5">
      <c r="A59" s="68"/>
      <c r="B59" s="20"/>
      <c r="C59" s="20"/>
      <c r="D59" s="20"/>
      <c r="E59" s="20"/>
      <c r="F59" s="69"/>
      <c r="G59" s="70"/>
    </row>
    <row r="60" spans="1:7">
      <c r="A60" s="19"/>
      <c r="B60" s="20"/>
      <c r="C60" s="21"/>
      <c r="D60" s="22"/>
      <c r="E60" s="21"/>
      <c r="F60" s="23"/>
      <c r="G60" s="22"/>
    </row>
    <row r="61" spans="1:7">
      <c r="A61" s="24"/>
      <c r="B61" s="25"/>
      <c r="C61" s="26" t="s">
        <v>5</v>
      </c>
      <c r="D61" s="27"/>
      <c r="E61" s="28"/>
      <c r="F61" s="29" t="s">
        <v>6</v>
      </c>
      <c r="G61" s="27"/>
    </row>
    <row r="62" spans="1:7">
      <c r="A62" s="71"/>
      <c r="B62" s="72"/>
      <c r="C62" s="73"/>
      <c r="D62" s="74"/>
      <c r="E62" s="73"/>
      <c r="F62" s="75"/>
      <c r="G62" s="76"/>
    </row>
    <row r="63" spans="1:7">
      <c r="A63" s="19"/>
      <c r="B63" s="20"/>
      <c r="C63" s="21"/>
      <c r="D63" s="22"/>
      <c r="E63" s="21"/>
      <c r="F63" s="23"/>
      <c r="G63" s="77"/>
    </row>
    <row r="64" spans="1:7">
      <c r="A64" s="45"/>
      <c r="B64" s="25"/>
      <c r="C64" s="25"/>
      <c r="D64" s="30"/>
      <c r="E64" s="25"/>
      <c r="F64" s="18"/>
      <c r="G64" s="46"/>
    </row>
    <row r="65" spans="1:7">
      <c r="A65" s="31" t="s">
        <v>37</v>
      </c>
      <c r="B65" s="25"/>
      <c r="C65" s="25"/>
      <c r="D65" s="30"/>
      <c r="E65" s="25"/>
      <c r="F65" s="18"/>
      <c r="G65" s="46"/>
    </row>
    <row r="66" spans="1:7">
      <c r="A66" s="24"/>
      <c r="B66" s="25"/>
      <c r="C66" s="25" t="s">
        <v>38</v>
      </c>
      <c r="D66" s="30"/>
      <c r="E66" s="25"/>
      <c r="F66" s="18">
        <v>0</v>
      </c>
      <c r="G66" s="46"/>
    </row>
    <row r="67" spans="1:7">
      <c r="A67" s="24"/>
      <c r="B67" s="25"/>
      <c r="C67" s="25" t="s">
        <v>39</v>
      </c>
      <c r="D67" s="30"/>
      <c r="E67" s="25"/>
      <c r="F67" s="18">
        <v>0</v>
      </c>
      <c r="G67" s="46"/>
    </row>
    <row r="68" spans="1:7">
      <c r="A68" s="24"/>
      <c r="B68" s="25"/>
      <c r="C68" s="25" t="s">
        <v>40</v>
      </c>
      <c r="D68" s="30"/>
      <c r="E68" s="25"/>
      <c r="F68" s="18">
        <v>0</v>
      </c>
      <c r="G68" s="46"/>
    </row>
    <row r="69" spans="1:7">
      <c r="A69" s="24"/>
      <c r="B69" s="25"/>
      <c r="C69" s="25" t="s">
        <v>41</v>
      </c>
      <c r="D69" s="30"/>
      <c r="E69" s="25"/>
      <c r="F69" s="34">
        <v>0</v>
      </c>
      <c r="G69" s="46"/>
    </row>
    <row r="70" spans="1:7">
      <c r="A70" s="24"/>
      <c r="B70" s="25"/>
      <c r="C70" s="25"/>
      <c r="D70" s="30"/>
      <c r="E70" s="25"/>
      <c r="F70" s="18"/>
      <c r="G70" s="46"/>
    </row>
    <row r="71" spans="1:7">
      <c r="A71" s="31" t="s">
        <v>25</v>
      </c>
      <c r="B71" s="25"/>
      <c r="C71" s="25"/>
      <c r="D71" s="30"/>
      <c r="E71" s="25"/>
      <c r="F71" s="18">
        <f>SUM(F66:F69)</f>
        <v>0</v>
      </c>
      <c r="G71" s="46"/>
    </row>
    <row r="72" spans="1:7">
      <c r="A72" s="24"/>
      <c r="B72" s="25"/>
      <c r="C72" s="25"/>
      <c r="D72" s="30"/>
      <c r="E72" s="25"/>
      <c r="F72" s="18"/>
      <c r="G72" s="46"/>
    </row>
    <row r="73" spans="1:7">
      <c r="A73" s="78" t="s">
        <v>42</v>
      </c>
      <c r="B73" s="26"/>
      <c r="C73" s="26"/>
      <c r="D73" s="36"/>
      <c r="E73" s="26"/>
      <c r="F73" s="29">
        <f>+F71+F58</f>
        <v>0</v>
      </c>
      <c r="G73" s="46"/>
    </row>
    <row r="74" spans="1:7">
      <c r="A74" s="31"/>
      <c r="B74" s="25"/>
      <c r="C74" s="25"/>
      <c r="D74" s="30"/>
      <c r="E74" s="25"/>
      <c r="F74" s="18"/>
      <c r="G74" s="46"/>
    </row>
    <row r="75" spans="1:7">
      <c r="A75" s="31" t="s">
        <v>43</v>
      </c>
      <c r="B75" s="25"/>
      <c r="C75" s="25"/>
      <c r="D75" s="30"/>
      <c r="E75" s="25"/>
      <c r="G75" s="46"/>
    </row>
    <row r="76" spans="1:7">
      <c r="A76" s="31"/>
      <c r="B76" s="25"/>
      <c r="C76" s="79" t="s">
        <v>44</v>
      </c>
      <c r="D76" s="30">
        <v>10</v>
      </c>
      <c r="E76" s="25"/>
      <c r="F76" s="18"/>
      <c r="G76" s="46"/>
    </row>
    <row r="77" spans="1:7">
      <c r="A77" s="31"/>
      <c r="B77" s="25"/>
      <c r="C77" s="79" t="s">
        <v>45</v>
      </c>
      <c r="D77" s="30">
        <v>3.25</v>
      </c>
      <c r="E77" s="25"/>
      <c r="F77" s="18"/>
      <c r="G77" s="46"/>
    </row>
    <row r="78" spans="1:7">
      <c r="A78" s="31"/>
      <c r="B78" s="25"/>
      <c r="C78" s="25" t="s">
        <v>46</v>
      </c>
      <c r="D78" s="30"/>
      <c r="E78" s="25"/>
      <c r="F78" s="80">
        <f>(D77/100*(1+D77/100)^D76/((1+D77/100)^D76-1))</f>
        <v>0.11873107239072277</v>
      </c>
      <c r="G78" s="46"/>
    </row>
    <row r="79" spans="1:7">
      <c r="A79" s="31"/>
      <c r="B79" s="25"/>
      <c r="C79" s="25"/>
      <c r="D79" s="30"/>
      <c r="E79" s="25"/>
      <c r="F79" s="18"/>
      <c r="G79" s="46"/>
    </row>
    <row r="80" spans="1:7">
      <c r="A80" s="31" t="s">
        <v>47</v>
      </c>
      <c r="B80" s="25"/>
      <c r="C80" s="25"/>
      <c r="D80" s="30"/>
      <c r="E80" s="25"/>
      <c r="F80" s="18"/>
      <c r="G80" s="46"/>
    </row>
    <row r="81" spans="1:7">
      <c r="A81" s="31"/>
      <c r="B81" s="25"/>
      <c r="C81" s="32" t="s">
        <v>48</v>
      </c>
      <c r="D81" s="30"/>
      <c r="E81" s="25"/>
      <c r="F81" s="18">
        <f>F40</f>
        <v>1127.4188999999999</v>
      </c>
      <c r="G81" s="46"/>
    </row>
    <row r="82" spans="1:7">
      <c r="A82" s="31"/>
      <c r="B82" s="25"/>
      <c r="C82" s="35"/>
      <c r="D82" s="36"/>
      <c r="E82" s="26"/>
      <c r="F82" s="29"/>
      <c r="G82" s="46"/>
    </row>
    <row r="83" spans="1:7">
      <c r="A83" s="31"/>
      <c r="B83" s="25"/>
      <c r="C83" s="35" t="s">
        <v>49</v>
      </c>
      <c r="D83" s="36"/>
      <c r="E83" s="26"/>
      <c r="F83" s="29">
        <f>F81*F78</f>
        <v>133.85965503056903</v>
      </c>
      <c r="G83" s="46"/>
    </row>
    <row r="84" spans="1:7" ht="13.5" thickBot="1">
      <c r="A84" s="31"/>
      <c r="B84" s="25"/>
      <c r="C84" s="25"/>
      <c r="D84" s="30"/>
      <c r="E84" s="25"/>
      <c r="F84" s="18"/>
      <c r="G84" s="46"/>
    </row>
    <row r="85" spans="1:7">
      <c r="A85" s="81"/>
      <c r="B85" s="82"/>
      <c r="C85" s="82"/>
      <c r="D85" s="83"/>
      <c r="E85" s="82"/>
      <c r="F85" s="84"/>
      <c r="G85" s="85"/>
    </row>
    <row r="86" spans="1:7">
      <c r="A86" s="78" t="s">
        <v>50</v>
      </c>
      <c r="B86" s="25"/>
      <c r="C86" s="25"/>
      <c r="D86" s="30"/>
      <c r="E86" s="25"/>
      <c r="F86" s="29">
        <f>F73+F83</f>
        <v>133.85965503056903</v>
      </c>
      <c r="G86" s="46"/>
    </row>
    <row r="87" spans="1:7">
      <c r="A87" s="78" t="s">
        <v>51</v>
      </c>
      <c r="B87" s="25"/>
      <c r="C87" s="25"/>
      <c r="D87" s="30"/>
      <c r="E87" s="25"/>
      <c r="F87" s="29"/>
      <c r="G87" s="46"/>
    </row>
    <row r="88" spans="1:7">
      <c r="A88" s="78"/>
      <c r="B88" s="25"/>
      <c r="C88" s="25"/>
      <c r="D88" s="30"/>
      <c r="E88" s="25"/>
      <c r="F88" s="29"/>
      <c r="G88" s="46"/>
    </row>
    <row r="89" spans="1:7" s="52" customFormat="1">
      <c r="A89" s="86" t="s">
        <v>52</v>
      </c>
      <c r="B89" s="48"/>
      <c r="C89" s="48"/>
      <c r="D89" s="87"/>
      <c r="E89" s="48"/>
      <c r="F89" s="62">
        <f>C8*C9</f>
        <v>1.4447507294117645</v>
      </c>
      <c r="G89" s="51"/>
    </row>
    <row r="90" spans="1:7" ht="13.5" thickBot="1">
      <c r="A90" s="24"/>
      <c r="B90" s="32"/>
      <c r="C90" s="25"/>
      <c r="D90" s="30"/>
      <c r="E90" s="25"/>
      <c r="F90" s="29"/>
      <c r="G90" s="46"/>
    </row>
    <row r="91" spans="1:7">
      <c r="A91" s="88" t="s">
        <v>53</v>
      </c>
      <c r="B91" s="82"/>
      <c r="C91" s="82"/>
      <c r="D91" s="83"/>
      <c r="E91" s="82"/>
      <c r="F91" s="89"/>
      <c r="G91" s="85"/>
    </row>
    <row r="92" spans="1:7">
      <c r="A92" s="78"/>
      <c r="B92" s="25"/>
      <c r="C92" s="26" t="s">
        <v>54</v>
      </c>
      <c r="D92" s="36"/>
      <c r="E92" s="26"/>
      <c r="F92" s="29"/>
      <c r="G92" s="46"/>
    </row>
    <row r="93" spans="1:7" ht="13.5" thickBot="1">
      <c r="A93" s="90"/>
      <c r="B93" s="91"/>
      <c r="C93" s="92" t="s">
        <v>55</v>
      </c>
      <c r="D93" s="93"/>
      <c r="E93" s="92"/>
      <c r="F93" s="94">
        <f>ROUND(F86*1000/F89,)</f>
        <v>92652</v>
      </c>
      <c r="G93" s="46"/>
    </row>
    <row r="94" spans="1:7" ht="13.5">
      <c r="A94" s="68"/>
    </row>
    <row r="95" spans="1:7">
      <c r="A95" s="3" t="s">
        <v>61</v>
      </c>
    </row>
    <row r="96" spans="1:7" ht="14.25">
      <c r="A96" s="95" t="s">
        <v>123</v>
      </c>
    </row>
  </sheetData>
  <pageMargins left="0.5" right="0.25" top="0.5" bottom="0.25" header="0.3" footer="0.3"/>
  <pageSetup paperSize="17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96"/>
  <sheetViews>
    <sheetView tabSelected="1" view="pageBreakPreview" topLeftCell="A67" zoomScaleNormal="100" zoomScaleSheetLayoutView="100" workbookViewId="0">
      <selection activeCell="C8" sqref="C8"/>
    </sheetView>
  </sheetViews>
  <sheetFormatPr defaultColWidth="8" defaultRowHeight="12.75"/>
  <cols>
    <col min="1" max="1" width="19.140625" style="3" customWidth="1"/>
    <col min="2" max="2" width="4.85546875" style="3" customWidth="1"/>
    <col min="3" max="3" width="46.5703125" style="3" customWidth="1"/>
    <col min="4" max="4" width="8.7109375" style="3" customWidth="1"/>
    <col min="5" max="5" width="2.5703125" style="3" customWidth="1"/>
    <col min="6" max="6" width="13.140625" style="4" customWidth="1"/>
    <col min="7" max="7" width="2.42578125" style="3" customWidth="1"/>
    <col min="8" max="16384" width="8" style="3"/>
  </cols>
  <sheetData>
    <row r="1" spans="1:20" ht="15">
      <c r="D1" s="1" t="s">
        <v>120</v>
      </c>
    </row>
    <row r="2" spans="1:20" ht="15">
      <c r="D2" s="2" t="s">
        <v>119</v>
      </c>
    </row>
    <row r="3" spans="1:20" ht="15">
      <c r="D3" s="5" t="s">
        <v>122</v>
      </c>
    </row>
    <row r="5" spans="1:20">
      <c r="A5" s="6"/>
    </row>
    <row r="6" spans="1:20" s="11" customFormat="1" ht="15" customHeight="1">
      <c r="A6" s="7" t="s">
        <v>0</v>
      </c>
      <c r="B6" s="8"/>
      <c r="C6" s="9" t="s">
        <v>57</v>
      </c>
      <c r="D6" s="10"/>
      <c r="E6" s="10"/>
      <c r="F6" s="10"/>
      <c r="G6" s="10"/>
    </row>
    <row r="7" spans="1:20" s="11" customFormat="1" ht="15">
      <c r="A7" s="7" t="s">
        <v>1</v>
      </c>
      <c r="B7" s="8"/>
      <c r="C7" s="12">
        <v>55.442999999999998</v>
      </c>
      <c r="D7" s="10"/>
      <c r="E7" s="10"/>
      <c r="F7" s="10"/>
      <c r="G7" s="10"/>
    </row>
    <row r="8" spans="1:20" s="11" customFormat="1" ht="15">
      <c r="A8" s="7" t="s">
        <v>2</v>
      </c>
      <c r="B8" s="8"/>
      <c r="C8" s="96">
        <v>10.210000000000001</v>
      </c>
      <c r="D8" s="10"/>
      <c r="E8" s="10"/>
      <c r="F8" s="10"/>
      <c r="G8" s="10"/>
      <c r="Q8" s="37"/>
      <c r="R8" s="3"/>
      <c r="S8" s="3"/>
      <c r="T8" s="3"/>
    </row>
    <row r="9" spans="1:20" s="11" customFormat="1" ht="15">
      <c r="A9" s="7" t="s">
        <v>3</v>
      </c>
      <c r="B9" s="8"/>
      <c r="C9" s="15">
        <v>0.6</v>
      </c>
      <c r="D9" s="10"/>
      <c r="E9" s="10"/>
      <c r="F9" s="10"/>
      <c r="G9" s="10"/>
      <c r="H9" s="14"/>
      <c r="Q9" s="37"/>
      <c r="R9" s="3"/>
      <c r="S9" s="3"/>
      <c r="T9" s="3"/>
    </row>
    <row r="10" spans="1:20" ht="13.5" thickBot="1">
      <c r="A10" s="97" t="s">
        <v>4</v>
      </c>
      <c r="B10" s="98"/>
      <c r="C10" s="99"/>
      <c r="D10" s="99"/>
      <c r="E10" s="99"/>
      <c r="F10" s="100"/>
      <c r="G10" s="99"/>
    </row>
    <row r="11" spans="1:20">
      <c r="A11" s="24"/>
      <c r="B11" s="25"/>
      <c r="C11" s="26" t="s">
        <v>5</v>
      </c>
      <c r="D11" s="27"/>
      <c r="E11" s="28"/>
      <c r="F11" s="29" t="s">
        <v>6</v>
      </c>
      <c r="G11" s="27"/>
    </row>
    <row r="12" spans="1:20">
      <c r="A12" s="71"/>
      <c r="B12" s="72"/>
      <c r="C12" s="73"/>
      <c r="D12" s="74"/>
      <c r="E12" s="73"/>
      <c r="F12" s="75"/>
      <c r="G12" s="76"/>
    </row>
    <row r="13" spans="1:20">
      <c r="A13" s="24"/>
      <c r="B13" s="25"/>
      <c r="C13" s="28"/>
      <c r="D13" s="27"/>
      <c r="E13" s="28"/>
      <c r="F13" s="29"/>
      <c r="G13" s="30"/>
    </row>
    <row r="14" spans="1:20">
      <c r="A14" s="31" t="s">
        <v>7</v>
      </c>
      <c r="B14" s="32"/>
      <c r="C14" s="25"/>
      <c r="D14" s="30"/>
      <c r="E14" s="25"/>
      <c r="F14" s="18"/>
      <c r="G14" s="30"/>
    </row>
    <row r="15" spans="1:20">
      <c r="A15" s="24"/>
      <c r="B15" s="25"/>
      <c r="C15" s="32" t="s">
        <v>8</v>
      </c>
      <c r="D15" s="30"/>
      <c r="E15" s="25"/>
      <c r="F15" s="18"/>
      <c r="G15" s="30"/>
    </row>
    <row r="16" spans="1:20">
      <c r="A16" s="24"/>
      <c r="B16" s="25"/>
      <c r="C16" s="25" t="s">
        <v>9</v>
      </c>
      <c r="D16" s="30"/>
      <c r="E16" s="25"/>
      <c r="F16" s="33"/>
      <c r="G16" s="30"/>
    </row>
    <row r="17" spans="1:10">
      <c r="A17" s="24"/>
      <c r="B17" s="25"/>
      <c r="C17" s="25" t="s">
        <v>10</v>
      </c>
      <c r="D17" s="30"/>
      <c r="E17" s="25"/>
      <c r="F17" s="18"/>
      <c r="G17" s="30"/>
    </row>
    <row r="18" spans="1:10">
      <c r="A18" s="24"/>
      <c r="B18" s="25"/>
      <c r="C18" s="25" t="s">
        <v>11</v>
      </c>
      <c r="D18" s="30"/>
      <c r="E18" s="25"/>
      <c r="F18" s="18"/>
      <c r="G18" s="30"/>
    </row>
    <row r="19" spans="1:10">
      <c r="A19" s="24"/>
      <c r="B19" s="25"/>
      <c r="C19" s="25" t="s">
        <v>12</v>
      </c>
      <c r="D19" s="30"/>
      <c r="E19" s="25"/>
      <c r="F19" s="34"/>
      <c r="G19" s="30"/>
    </row>
    <row r="20" spans="1:10">
      <c r="A20" s="24"/>
      <c r="B20" s="25"/>
      <c r="C20" s="25"/>
      <c r="D20" s="30"/>
      <c r="E20" s="25"/>
      <c r="F20" s="18"/>
      <c r="G20" s="30"/>
    </row>
    <row r="21" spans="1:10">
      <c r="A21" s="24"/>
      <c r="B21" s="25"/>
      <c r="C21" s="35" t="s">
        <v>13</v>
      </c>
      <c r="D21" s="36"/>
      <c r="E21" s="26"/>
      <c r="F21" s="29">
        <f>452*1.0851</f>
        <v>490.46519999999998</v>
      </c>
      <c r="G21" s="30"/>
      <c r="H21" s="3" t="s">
        <v>60</v>
      </c>
      <c r="J21" s="37"/>
    </row>
    <row r="22" spans="1:10">
      <c r="A22" s="24"/>
      <c r="B22" s="25"/>
      <c r="C22" s="25"/>
      <c r="D22" s="30"/>
      <c r="E22" s="25"/>
      <c r="F22" s="18"/>
      <c r="G22" s="30"/>
    </row>
    <row r="23" spans="1:10">
      <c r="A23" s="24"/>
      <c r="B23" s="25"/>
      <c r="C23" s="32" t="s">
        <v>14</v>
      </c>
      <c r="D23" s="30"/>
      <c r="E23" s="25"/>
      <c r="F23" s="18"/>
      <c r="G23" s="30"/>
    </row>
    <row r="24" spans="1:10" ht="25.5">
      <c r="A24" s="24"/>
      <c r="B24" s="25"/>
      <c r="C24" s="38" t="s">
        <v>15</v>
      </c>
      <c r="D24" s="30"/>
      <c r="E24" s="25"/>
      <c r="F24" s="34">
        <f>0.25*F21</f>
        <v>122.6163</v>
      </c>
      <c r="G24" s="30"/>
    </row>
    <row r="25" spans="1:10">
      <c r="A25" s="24"/>
      <c r="B25" s="25"/>
      <c r="C25" s="25" t="s">
        <v>16</v>
      </c>
      <c r="D25" s="30"/>
      <c r="E25" s="25"/>
      <c r="F25" s="34">
        <f>0.25*F21</f>
        <v>122.6163</v>
      </c>
      <c r="G25" s="30"/>
    </row>
    <row r="26" spans="1:10">
      <c r="A26" s="24"/>
      <c r="B26" s="25"/>
      <c r="C26" s="35" t="s">
        <v>17</v>
      </c>
      <c r="D26" s="36"/>
      <c r="E26" s="26"/>
      <c r="F26" s="29">
        <f>SUM(F24:F25)</f>
        <v>245.23259999999999</v>
      </c>
      <c r="G26" s="30"/>
    </row>
    <row r="27" spans="1:10">
      <c r="A27" s="24"/>
      <c r="B27" s="25"/>
      <c r="C27" s="25"/>
      <c r="D27" s="30"/>
      <c r="E27" s="25"/>
      <c r="F27" s="18"/>
      <c r="G27" s="30"/>
    </row>
    <row r="28" spans="1:10">
      <c r="A28" s="31" t="s">
        <v>18</v>
      </c>
      <c r="B28" s="32"/>
      <c r="C28" s="25"/>
      <c r="D28" s="30"/>
      <c r="E28" s="25"/>
      <c r="F28" s="29"/>
      <c r="G28" s="30"/>
    </row>
    <row r="29" spans="1:10">
      <c r="A29" s="31"/>
      <c r="B29" s="32"/>
      <c r="C29" s="25"/>
      <c r="D29" s="30"/>
      <c r="E29" s="25"/>
      <c r="F29" s="18"/>
      <c r="G29" s="30"/>
    </row>
    <row r="30" spans="1:10">
      <c r="A30" s="31" t="s">
        <v>19</v>
      </c>
      <c r="B30" s="32"/>
      <c r="C30" s="25"/>
      <c r="D30" s="30"/>
      <c r="E30" s="25"/>
      <c r="F30" s="18"/>
      <c r="G30" s="30"/>
    </row>
    <row r="31" spans="1:10">
      <c r="A31" s="24"/>
      <c r="B31" s="25"/>
      <c r="C31" s="25" t="s">
        <v>20</v>
      </c>
      <c r="D31" s="30"/>
      <c r="E31" s="25"/>
      <c r="F31" s="18">
        <f>$F$21*0.1</f>
        <v>49.046520000000001</v>
      </c>
      <c r="G31" s="30"/>
    </row>
    <row r="32" spans="1:10">
      <c r="A32" s="24"/>
      <c r="B32" s="25"/>
      <c r="C32" s="25" t="s">
        <v>21</v>
      </c>
      <c r="D32" s="30"/>
      <c r="E32" s="25"/>
      <c r="F32" s="18">
        <f>$F$21*0.05</f>
        <v>24.523260000000001</v>
      </c>
      <c r="G32" s="30"/>
    </row>
    <row r="33" spans="1:7">
      <c r="A33" s="24"/>
      <c r="B33" s="25"/>
      <c r="C33" s="25" t="s">
        <v>22</v>
      </c>
      <c r="D33" s="30"/>
      <c r="E33" s="25"/>
      <c r="F33" s="18">
        <f t="shared" ref="F33" si="0">$F$21*0.1</f>
        <v>49.046520000000001</v>
      </c>
      <c r="G33" s="30"/>
    </row>
    <row r="34" spans="1:7">
      <c r="A34" s="24"/>
      <c r="B34" s="25"/>
      <c r="C34" s="25" t="s">
        <v>23</v>
      </c>
      <c r="D34" s="30"/>
      <c r="E34" s="25"/>
      <c r="F34" s="18">
        <f>$F$21*0.02</f>
        <v>9.8093039999999991</v>
      </c>
      <c r="G34" s="30"/>
    </row>
    <row r="35" spans="1:7">
      <c r="A35" s="24"/>
      <c r="B35" s="25"/>
      <c r="C35" s="25" t="s">
        <v>24</v>
      </c>
      <c r="D35" s="30"/>
      <c r="E35" s="25"/>
      <c r="F35" s="18">
        <f>$F$21*0.03</f>
        <v>14.713956</v>
      </c>
      <c r="G35" s="30"/>
    </row>
    <row r="36" spans="1:7">
      <c r="A36" s="24"/>
      <c r="B36" s="25"/>
      <c r="C36" s="25"/>
      <c r="D36" s="30"/>
      <c r="E36" s="25"/>
      <c r="F36" s="18"/>
      <c r="G36" s="30"/>
    </row>
    <row r="37" spans="1:7">
      <c r="A37" s="31" t="s">
        <v>25</v>
      </c>
      <c r="B37" s="32"/>
      <c r="C37" s="25"/>
      <c r="D37" s="30"/>
      <c r="E37" s="25"/>
      <c r="F37" s="29">
        <f>SUM(F31:F35)</f>
        <v>147.13956000000002</v>
      </c>
      <c r="G37" s="30"/>
    </row>
    <row r="38" spans="1:7">
      <c r="A38" s="24"/>
      <c r="B38" s="25"/>
      <c r="C38" s="25"/>
      <c r="D38" s="30"/>
      <c r="E38" s="25"/>
      <c r="F38" s="18"/>
      <c r="G38" s="30"/>
    </row>
    <row r="39" spans="1:7" ht="15.75">
      <c r="A39" s="39" t="s">
        <v>26</v>
      </c>
      <c r="B39" s="40"/>
      <c r="C39" s="41"/>
      <c r="D39" s="42"/>
      <c r="E39" s="41"/>
      <c r="F39" s="43">
        <f>F21+F26+F37</f>
        <v>882.83735999999999</v>
      </c>
      <c r="G39" s="42"/>
    </row>
    <row r="40" spans="1:7">
      <c r="D40" s="28"/>
      <c r="E40" s="28"/>
      <c r="F40" s="29"/>
      <c r="G40" s="101"/>
    </row>
    <row r="41" spans="1:7">
      <c r="A41" s="19"/>
      <c r="B41" s="21"/>
      <c r="C41" s="20"/>
      <c r="D41" s="44"/>
      <c r="E41" s="20"/>
      <c r="F41" s="23"/>
      <c r="G41" s="22"/>
    </row>
    <row r="42" spans="1:7">
      <c r="A42" s="24"/>
      <c r="B42" s="28" t="s">
        <v>27</v>
      </c>
      <c r="C42" s="26" t="s">
        <v>5</v>
      </c>
      <c r="D42" s="27"/>
      <c r="E42" s="28"/>
      <c r="F42" s="29" t="s">
        <v>6</v>
      </c>
      <c r="G42" s="27"/>
    </row>
    <row r="43" spans="1:7">
      <c r="A43" s="71"/>
      <c r="B43" s="72"/>
      <c r="C43" s="73"/>
      <c r="D43" s="74"/>
      <c r="E43" s="73"/>
      <c r="F43" s="75"/>
      <c r="G43" s="76"/>
    </row>
    <row r="44" spans="1:7">
      <c r="A44" s="45"/>
      <c r="B44" s="25"/>
      <c r="C44" s="25"/>
      <c r="D44" s="25"/>
      <c r="E44" s="24"/>
      <c r="F44" s="18"/>
      <c r="G44" s="46"/>
    </row>
    <row r="45" spans="1:7">
      <c r="A45" s="31" t="s">
        <v>28</v>
      </c>
      <c r="B45" s="25"/>
      <c r="C45" s="25"/>
      <c r="D45" s="25"/>
      <c r="E45" s="24"/>
      <c r="F45" s="18"/>
      <c r="G45" s="46"/>
    </row>
    <row r="46" spans="1:7">
      <c r="A46" s="24"/>
      <c r="B46" s="32" t="s">
        <v>29</v>
      </c>
      <c r="D46" s="25"/>
      <c r="E46" s="24"/>
      <c r="F46" s="18"/>
      <c r="G46" s="46"/>
    </row>
    <row r="47" spans="1:7" s="52" customFormat="1">
      <c r="A47" s="47"/>
      <c r="B47" s="48"/>
      <c r="C47" s="49" t="s">
        <v>30</v>
      </c>
      <c r="D47" s="49"/>
      <c r="E47" s="50"/>
      <c r="F47" s="33">
        <v>0</v>
      </c>
      <c r="G47" s="51"/>
    </row>
    <row r="48" spans="1:7" s="52" customFormat="1">
      <c r="A48" s="47"/>
      <c r="B48" s="48"/>
      <c r="C48" s="49" t="s">
        <v>31</v>
      </c>
      <c r="D48" s="49"/>
      <c r="E48" s="50"/>
      <c r="F48" s="33">
        <v>0</v>
      </c>
      <c r="G48" s="51"/>
    </row>
    <row r="49" spans="1:10" s="55" customFormat="1">
      <c r="A49" s="50"/>
      <c r="B49" s="49"/>
      <c r="C49" s="49" t="s">
        <v>58</v>
      </c>
      <c r="D49" s="49"/>
      <c r="E49" s="50"/>
      <c r="F49" s="53">
        <f>16.779*1.0851</f>
        <v>18.2068929</v>
      </c>
      <c r="G49" s="54"/>
      <c r="H49" s="3" t="s">
        <v>60</v>
      </c>
      <c r="J49" s="37"/>
    </row>
    <row r="50" spans="1:10" s="55" customFormat="1">
      <c r="A50" s="50"/>
      <c r="D50" s="56"/>
      <c r="F50" s="57"/>
      <c r="G50" s="54"/>
    </row>
    <row r="51" spans="1:10" s="55" customFormat="1">
      <c r="A51" s="50"/>
      <c r="B51" s="58" t="s">
        <v>33</v>
      </c>
      <c r="C51" s="59"/>
      <c r="D51" s="60"/>
      <c r="E51" s="61"/>
      <c r="F51" s="62">
        <f>F47+F48+F49</f>
        <v>18.2068929</v>
      </c>
      <c r="G51" s="54"/>
    </row>
    <row r="52" spans="1:10" s="55" customFormat="1">
      <c r="A52" s="50"/>
      <c r="D52" s="49"/>
      <c r="E52" s="50"/>
      <c r="F52" s="33"/>
      <c r="G52" s="54"/>
    </row>
    <row r="53" spans="1:10" s="55" customFormat="1">
      <c r="A53" s="50"/>
      <c r="B53" s="49"/>
      <c r="C53" s="49"/>
      <c r="D53" s="49"/>
      <c r="E53" s="50"/>
      <c r="F53" s="33"/>
      <c r="G53" s="54"/>
    </row>
    <row r="54" spans="1:10" s="55" customFormat="1">
      <c r="A54" s="50"/>
      <c r="B54" s="63" t="s">
        <v>34</v>
      </c>
      <c r="D54" s="49"/>
      <c r="E54" s="50"/>
      <c r="F54" s="33"/>
      <c r="G54" s="54"/>
    </row>
    <row r="55" spans="1:10" s="55" customFormat="1">
      <c r="A55" s="50"/>
      <c r="B55" s="49"/>
      <c r="C55" s="49" t="s">
        <v>59</v>
      </c>
      <c r="D55" s="49"/>
      <c r="E55" s="50"/>
      <c r="F55" s="33">
        <f>4.574*1.0851</f>
        <v>4.9632473999999993</v>
      </c>
      <c r="G55" s="54"/>
      <c r="H55" s="3" t="s">
        <v>60</v>
      </c>
      <c r="J55" s="37"/>
    </row>
    <row r="56" spans="1:10" s="55" customFormat="1">
      <c r="A56" s="50"/>
      <c r="B56" s="49"/>
      <c r="C56" s="49"/>
      <c r="D56" s="49"/>
      <c r="E56" s="50"/>
      <c r="F56" s="53"/>
      <c r="G56" s="54"/>
    </row>
    <row r="57" spans="1:10">
      <c r="A57" s="31"/>
      <c r="B57" s="25"/>
      <c r="C57" s="25"/>
      <c r="D57" s="25"/>
      <c r="E57" s="24"/>
      <c r="F57" s="18"/>
      <c r="G57" s="46"/>
    </row>
    <row r="58" spans="1:10">
      <c r="A58" s="31"/>
      <c r="B58" s="35" t="s">
        <v>35</v>
      </c>
      <c r="C58" s="6"/>
      <c r="D58" s="64"/>
      <c r="E58" s="45"/>
      <c r="F58" s="29">
        <f>SUM(F55:F56)</f>
        <v>4.9632473999999993</v>
      </c>
      <c r="G58" s="46"/>
    </row>
    <row r="59" spans="1:10">
      <c r="A59" s="31"/>
      <c r="B59" s="25"/>
      <c r="C59" s="25"/>
      <c r="D59" s="25"/>
      <c r="E59" s="24"/>
      <c r="F59" s="18"/>
      <c r="G59" s="46"/>
    </row>
    <row r="60" spans="1:10" ht="16.5" customHeight="1">
      <c r="A60" s="39" t="s">
        <v>36</v>
      </c>
      <c r="B60" s="41"/>
      <c r="C60" s="41"/>
      <c r="D60" s="65"/>
      <c r="E60" s="66"/>
      <c r="F60" s="43">
        <f>F51+F58</f>
        <v>23.1701403</v>
      </c>
      <c r="G60" s="67"/>
    </row>
    <row r="61" spans="1:10" ht="13.5">
      <c r="A61" s="68"/>
      <c r="B61" s="20"/>
      <c r="C61" s="20"/>
      <c r="D61" s="20"/>
      <c r="E61" s="20"/>
      <c r="F61" s="69"/>
      <c r="G61" s="70"/>
    </row>
    <row r="62" spans="1:10">
      <c r="A62" s="19"/>
      <c r="B62" s="20"/>
      <c r="C62" s="21"/>
      <c r="D62" s="22"/>
      <c r="E62" s="21"/>
      <c r="F62" s="23"/>
      <c r="G62" s="22"/>
    </row>
    <row r="63" spans="1:10">
      <c r="A63" s="24"/>
      <c r="B63" s="25"/>
      <c r="C63" s="26" t="s">
        <v>5</v>
      </c>
      <c r="D63" s="27"/>
      <c r="E63" s="28"/>
      <c r="F63" s="29" t="s">
        <v>6</v>
      </c>
      <c r="G63" s="27"/>
    </row>
    <row r="64" spans="1:10">
      <c r="A64" s="71"/>
      <c r="B64" s="72"/>
      <c r="C64" s="73"/>
      <c r="D64" s="74"/>
      <c r="E64" s="73"/>
      <c r="F64" s="75"/>
      <c r="G64" s="76"/>
    </row>
    <row r="65" spans="1:7">
      <c r="A65" s="19"/>
      <c r="B65" s="20"/>
      <c r="C65" s="21"/>
      <c r="D65" s="22"/>
      <c r="E65" s="21"/>
      <c r="F65" s="23"/>
      <c r="G65" s="77"/>
    </row>
    <row r="66" spans="1:7">
      <c r="A66" s="31" t="s">
        <v>37</v>
      </c>
      <c r="B66" s="25"/>
      <c r="C66" s="25"/>
      <c r="D66" s="30"/>
      <c r="E66" s="25"/>
      <c r="F66" s="18"/>
      <c r="G66" s="46"/>
    </row>
    <row r="67" spans="1:7">
      <c r="A67" s="24"/>
      <c r="B67" s="25"/>
      <c r="C67" s="25" t="s">
        <v>38</v>
      </c>
      <c r="D67" s="30"/>
      <c r="E67" s="25"/>
      <c r="F67" s="18">
        <v>0</v>
      </c>
      <c r="G67" s="46"/>
    </row>
    <row r="68" spans="1:7">
      <c r="A68" s="24"/>
      <c r="B68" s="25"/>
      <c r="C68" s="25" t="s">
        <v>39</v>
      </c>
      <c r="D68" s="30"/>
      <c r="E68" s="25"/>
      <c r="F68" s="18">
        <v>0</v>
      </c>
      <c r="G68" s="46"/>
    </row>
    <row r="69" spans="1:7">
      <c r="A69" s="24"/>
      <c r="B69" s="25"/>
      <c r="C69" s="25" t="s">
        <v>40</v>
      </c>
      <c r="D69" s="30"/>
      <c r="E69" s="25"/>
      <c r="F69" s="18">
        <v>0</v>
      </c>
      <c r="G69" s="46"/>
    </row>
    <row r="70" spans="1:7">
      <c r="A70" s="24"/>
      <c r="B70" s="25"/>
      <c r="C70" s="25" t="s">
        <v>41</v>
      </c>
      <c r="D70" s="30"/>
      <c r="E70" s="25"/>
      <c r="F70" s="34">
        <v>0</v>
      </c>
      <c r="G70" s="46"/>
    </row>
    <row r="71" spans="1:7">
      <c r="A71" s="24"/>
      <c r="B71" s="25"/>
      <c r="C71" s="25"/>
      <c r="D71" s="30"/>
      <c r="E71" s="25"/>
      <c r="F71" s="18"/>
      <c r="G71" s="46"/>
    </row>
    <row r="72" spans="1:7">
      <c r="A72" s="31" t="s">
        <v>25</v>
      </c>
      <c r="B72" s="25"/>
      <c r="C72" s="25"/>
      <c r="D72" s="30"/>
      <c r="E72" s="25"/>
      <c r="F72" s="18">
        <f>SUM(F67:F70)</f>
        <v>0</v>
      </c>
      <c r="G72" s="46"/>
    </row>
    <row r="73" spans="1:7">
      <c r="A73" s="24"/>
      <c r="B73" s="25"/>
      <c r="C73" s="25"/>
      <c r="D73" s="30"/>
      <c r="E73" s="25"/>
      <c r="F73" s="18"/>
      <c r="G73" s="46"/>
    </row>
    <row r="74" spans="1:7">
      <c r="A74" s="78" t="s">
        <v>42</v>
      </c>
      <c r="B74" s="26"/>
      <c r="C74" s="26"/>
      <c r="D74" s="36"/>
      <c r="E74" s="26"/>
      <c r="F74" s="29">
        <f>+F72+F60</f>
        <v>23.1701403</v>
      </c>
      <c r="G74" s="46"/>
    </row>
    <row r="75" spans="1:7">
      <c r="A75" s="31"/>
      <c r="B75" s="25"/>
      <c r="C75" s="25"/>
      <c r="D75" s="30"/>
      <c r="E75" s="25"/>
      <c r="F75" s="18"/>
      <c r="G75" s="46"/>
    </row>
    <row r="76" spans="1:7">
      <c r="A76" s="31" t="s">
        <v>43</v>
      </c>
      <c r="B76" s="25"/>
      <c r="C76" s="25"/>
      <c r="D76" s="30"/>
      <c r="E76" s="25"/>
      <c r="G76" s="46"/>
    </row>
    <row r="77" spans="1:7">
      <c r="A77" s="31"/>
      <c r="B77" s="25"/>
      <c r="C77" s="79" t="s">
        <v>44</v>
      </c>
      <c r="D77" s="30">
        <v>25</v>
      </c>
      <c r="E77" s="25"/>
      <c r="F77" s="18"/>
      <c r="G77" s="46"/>
    </row>
    <row r="78" spans="1:7">
      <c r="A78" s="31"/>
      <c r="B78" s="25"/>
      <c r="C78" s="79" t="s">
        <v>45</v>
      </c>
      <c r="D78" s="30">
        <v>3.25</v>
      </c>
      <c r="E78" s="25"/>
      <c r="F78" s="18"/>
      <c r="G78" s="46"/>
    </row>
    <row r="79" spans="1:7">
      <c r="A79" s="31"/>
      <c r="B79" s="25"/>
      <c r="C79" s="25" t="s">
        <v>46</v>
      </c>
      <c r="D79" s="30"/>
      <c r="E79" s="25"/>
      <c r="F79" s="80">
        <f>(D78/100*(1+D78/100)^D77/((1+D78/100)^D77-1))</f>
        <v>5.9039325274868763E-2</v>
      </c>
      <c r="G79" s="46"/>
    </row>
    <row r="80" spans="1:7">
      <c r="A80" s="31"/>
      <c r="B80" s="25"/>
      <c r="C80" s="25"/>
      <c r="D80" s="30"/>
      <c r="E80" s="25"/>
      <c r="F80" s="18"/>
      <c r="G80" s="46"/>
    </row>
    <row r="81" spans="1:7">
      <c r="A81" s="31" t="s">
        <v>47</v>
      </c>
      <c r="B81" s="25"/>
      <c r="C81" s="25"/>
      <c r="D81" s="30"/>
      <c r="E81" s="25"/>
      <c r="F81" s="18"/>
      <c r="G81" s="46"/>
    </row>
    <row r="82" spans="1:7">
      <c r="A82" s="31"/>
      <c r="B82" s="25"/>
      <c r="C82" s="32" t="s">
        <v>48</v>
      </c>
      <c r="D82" s="30"/>
      <c r="E82" s="25"/>
      <c r="F82" s="18">
        <f>F39</f>
        <v>882.83735999999999</v>
      </c>
      <c r="G82" s="46"/>
    </row>
    <row r="83" spans="1:7">
      <c r="A83" s="31"/>
      <c r="B83" s="25"/>
      <c r="C83" s="35"/>
      <c r="D83" s="36"/>
      <c r="E83" s="26"/>
      <c r="F83" s="29"/>
      <c r="G83" s="46"/>
    </row>
    <row r="84" spans="1:7">
      <c r="A84" s="31"/>
      <c r="B84" s="25"/>
      <c r="C84" s="35" t="s">
        <v>49</v>
      </c>
      <c r="D84" s="36"/>
      <c r="E84" s="26"/>
      <c r="F84" s="29">
        <f>F82*F79</f>
        <v>52.122122061846412</v>
      </c>
      <c r="G84" s="46"/>
    </row>
    <row r="85" spans="1:7" ht="13.5" thickBot="1">
      <c r="A85" s="102"/>
      <c r="B85" s="91"/>
      <c r="C85" s="91"/>
      <c r="D85" s="103"/>
      <c r="E85" s="91"/>
      <c r="F85" s="100"/>
      <c r="G85" s="104"/>
    </row>
    <row r="86" spans="1:7">
      <c r="A86" s="78" t="s">
        <v>50</v>
      </c>
      <c r="B86" s="25"/>
      <c r="C86" s="25"/>
      <c r="D86" s="30"/>
      <c r="E86" s="25"/>
      <c r="F86" s="29">
        <f>F74+F84</f>
        <v>75.292262361846412</v>
      </c>
      <c r="G86" s="46"/>
    </row>
    <row r="87" spans="1:7">
      <c r="A87" s="78" t="s">
        <v>51</v>
      </c>
      <c r="B87" s="25"/>
      <c r="C87" s="25"/>
      <c r="D87" s="30"/>
      <c r="E87" s="25"/>
      <c r="F87" s="29"/>
      <c r="G87" s="46"/>
    </row>
    <row r="88" spans="1:7">
      <c r="A88" s="78"/>
      <c r="B88" s="25"/>
      <c r="C88" s="25"/>
      <c r="D88" s="30"/>
      <c r="E88" s="25"/>
      <c r="F88" s="29"/>
      <c r="G88" s="46"/>
    </row>
    <row r="89" spans="1:7" s="52" customFormat="1">
      <c r="A89" s="86" t="s">
        <v>52</v>
      </c>
      <c r="B89" s="48"/>
      <c r="C89" s="48"/>
      <c r="D89" s="87"/>
      <c r="E89" s="48"/>
      <c r="F89" s="62">
        <f>C8*C9</f>
        <v>6.1260000000000003</v>
      </c>
      <c r="G89" s="51"/>
    </row>
    <row r="90" spans="1:7" ht="13.5" thickBot="1">
      <c r="A90" s="24"/>
      <c r="B90" s="32"/>
      <c r="C90" s="25"/>
      <c r="D90" s="30"/>
      <c r="E90" s="25"/>
      <c r="F90" s="29"/>
      <c r="G90" s="46"/>
    </row>
    <row r="91" spans="1:7">
      <c r="A91" s="88" t="s">
        <v>53</v>
      </c>
      <c r="B91" s="82"/>
      <c r="C91" s="82"/>
      <c r="D91" s="83"/>
      <c r="E91" s="82"/>
      <c r="F91" s="89"/>
      <c r="G91" s="85"/>
    </row>
    <row r="92" spans="1:7">
      <c r="A92" s="78"/>
      <c r="B92" s="25"/>
      <c r="C92" s="26" t="s">
        <v>54</v>
      </c>
      <c r="D92" s="36"/>
      <c r="E92" s="26"/>
      <c r="F92" s="29"/>
      <c r="G92" s="46"/>
    </row>
    <row r="93" spans="1:7" ht="13.5" thickBot="1">
      <c r="A93" s="90"/>
      <c r="B93" s="91"/>
      <c r="C93" s="92" t="s">
        <v>55</v>
      </c>
      <c r="D93" s="93"/>
      <c r="E93" s="92"/>
      <c r="F93" s="94">
        <f>ROUND(F86*1000/F89,)</f>
        <v>12291</v>
      </c>
      <c r="G93" s="104"/>
    </row>
    <row r="94" spans="1:7" ht="13.5">
      <c r="A94" s="68"/>
    </row>
    <row r="95" spans="1:7">
      <c r="A95" s="3" t="s">
        <v>62</v>
      </c>
    </row>
    <row r="96" spans="1:7">
      <c r="A96" s="14" t="s">
        <v>63</v>
      </c>
    </row>
  </sheetData>
  <pageMargins left="0.25" right="0.25" top="0.5" bottom="0.25" header="0.3" footer="0.3"/>
  <pageSetup paperSize="17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/>
  <sheetData/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Aux Boiler SCR for NOX</vt:lpstr>
      <vt:lpstr>Reformer - Low NOx Burners</vt:lpstr>
      <vt:lpstr>Waste Heat Boilers Low NOx Burn</vt:lpstr>
      <vt:lpstr>Solar Turbine Water Injection</vt:lpstr>
      <vt:lpstr>'Waste Heat Boilers Low NOx Burn'!Print_Area</vt:lpstr>
    </vt:vector>
  </TitlesOfParts>
  <Company>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Jordan</dc:creator>
  <cp:lastModifiedBy>Jones, David</cp:lastModifiedBy>
  <cp:lastPrinted>2019-05-16T17:41:22Z</cp:lastPrinted>
  <dcterms:created xsi:type="dcterms:W3CDTF">2013-10-16T12:56:14Z</dcterms:created>
  <dcterms:modified xsi:type="dcterms:W3CDTF">2020-11-10T21:32:49Z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c8022dcd5ed14e0595b69c78ace8bc1e</vt:lpwstr>
  </property>
</Properties>
</file>