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asalimi\Downloads\8202024\BACM Spreadsheets Umbraco Ready\"/>
    </mc:Choice>
  </mc:AlternateContent>
  <xr:revisionPtr revIDLastSave="0" documentId="13_ncr:1_{30EC4D6F-CCCE-4A91-89DA-13DCFDD73A4E}" xr6:coauthVersionLast="47" xr6:coauthVersionMax="47" xr10:uidLastSave="{00000000-0000-0000-0000-000000000000}"/>
  <bookViews>
    <workbookView xWindow="-120" yWindow="-120" windowWidth="29040" windowHeight="15840" xr2:uid="{0B37CA87-BCC9-4F78-B11F-1453B1C0A0FE}"/>
  </bookViews>
  <sheets>
    <sheet name="Measure70_Option1" sheetId="1" r:id="rId1"/>
    <sheet name="Measure70_Option2" sheetId="5" r:id="rId2"/>
    <sheet name="WasteOilUse" sheetId="2" r:id="rId3"/>
    <sheet name="2020EpEmiss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26" i="1"/>
  <c r="D25" i="1"/>
  <c r="D29" i="1"/>
  <c r="E18" i="1"/>
  <c r="E15" i="1"/>
  <c r="E71" i="5"/>
  <c r="E68" i="5"/>
  <c r="D68" i="5"/>
  <c r="E67" i="5"/>
  <c r="D67" i="5"/>
  <c r="E16" i="5"/>
  <c r="D16" i="5"/>
  <c r="C16" i="5"/>
  <c r="E13" i="5"/>
  <c r="E66" i="5"/>
  <c r="E73" i="5"/>
  <c r="D71" i="5"/>
  <c r="E69" i="5"/>
  <c r="E15" i="5"/>
  <c r="E14" i="5"/>
  <c r="D27" i="1"/>
  <c r="C26" i="1"/>
  <c r="D21" i="1"/>
  <c r="D24" i="1"/>
  <c r="E16" i="1"/>
  <c r="D15" i="1"/>
  <c r="D16" i="1"/>
  <c r="D18" i="1"/>
  <c r="E17" i="1"/>
  <c r="C39" i="5"/>
  <c r="F46" i="5"/>
  <c r="G46" i="5"/>
  <c r="F47" i="5"/>
  <c r="G47" i="5"/>
  <c r="C21" i="5"/>
  <c r="F48" i="5"/>
  <c r="G48" i="5"/>
  <c r="G49" i="5"/>
  <c r="F53" i="5"/>
  <c r="E53" i="5"/>
  <c r="G53" i="5"/>
  <c r="H53" i="5"/>
  <c r="I53" i="5"/>
  <c r="F54" i="5"/>
  <c r="E54" i="5"/>
  <c r="G54" i="5"/>
  <c r="I54" i="5"/>
  <c r="F55" i="5"/>
  <c r="C27" i="5"/>
  <c r="E55" i="5"/>
  <c r="G55" i="5"/>
  <c r="I55" i="5"/>
  <c r="I56" i="5"/>
  <c r="C20" i="5"/>
  <c r="C60" i="5"/>
  <c r="D60" i="5"/>
  <c r="E60" i="5"/>
  <c r="F60" i="5"/>
  <c r="C61" i="5"/>
  <c r="D61" i="5"/>
  <c r="E61" i="5"/>
  <c r="F61" i="5"/>
  <c r="F62" i="5"/>
  <c r="D69" i="5"/>
  <c r="C13" i="5"/>
  <c r="C14" i="5"/>
  <c r="D66" i="5"/>
  <c r="D73" i="5"/>
  <c r="C28" i="5"/>
  <c r="D54" i="5"/>
  <c r="D15" i="5"/>
  <c r="C15" i="5"/>
  <c r="D14" i="5"/>
  <c r="D13" i="5"/>
  <c r="C21" i="1"/>
  <c r="D17" i="1"/>
  <c r="C17" i="1"/>
  <c r="C16" i="1"/>
  <c r="C15" i="1"/>
  <c r="L31" i="2"/>
  <c r="L32" i="2"/>
  <c r="H31" i="2"/>
  <c r="L24" i="2"/>
  <c r="L23" i="2"/>
  <c r="L22" i="2"/>
  <c r="K21" i="2"/>
  <c r="K20" i="2"/>
  <c r="K19" i="2"/>
  <c r="J18" i="2"/>
  <c r="J17" i="2"/>
  <c r="J16" i="2"/>
  <c r="J15" i="2"/>
  <c r="J14" i="2"/>
  <c r="J13" i="2"/>
  <c r="J12" i="2"/>
  <c r="J11" i="2"/>
  <c r="J10" i="2"/>
  <c r="J31" i="2"/>
  <c r="J32" i="2"/>
  <c r="K9" i="2"/>
  <c r="K31" i="2"/>
  <c r="K32" i="2"/>
  <c r="J8" i="2"/>
  <c r="J7" i="2"/>
  <c r="J6" i="2"/>
  <c r="J5" i="2"/>
  <c r="C18" i="1"/>
  <c r="C25" i="1"/>
  <c r="C27" i="1"/>
  <c r="C24" i="1"/>
  <c r="C29" i="1"/>
  <c r="C31" i="1"/>
</calcChain>
</file>

<file path=xl/sharedStrings.xml><?xml version="1.0" encoding="utf-8"?>
<sst xmlns="http://schemas.openxmlformats.org/spreadsheetml/2006/main" count="365" uniqueCount="231">
  <si>
    <t>Fairbanks North Star Borough Solid Waste Division collects and ships used oil. Key notes received from the Division is listed below:</t>
  </si>
  <si>
    <t>Used Oil Furnace Query</t>
  </si>
  <si>
    <t>Company name</t>
  </si>
  <si>
    <t># of Furnaces</t>
  </si>
  <si>
    <t xml:space="preserve">Estimated# of Gallons burned </t>
  </si>
  <si>
    <t xml:space="preserve">South of </t>
  </si>
  <si>
    <t>North of</t>
  </si>
  <si>
    <t>North</t>
  </si>
  <si>
    <t>monthly</t>
  </si>
  <si>
    <t>annually</t>
  </si>
  <si>
    <t>Downtown</t>
  </si>
  <si>
    <t>Pole</t>
  </si>
  <si>
    <t>Lng (dec)</t>
  </si>
  <si>
    <t>Lat (dec)</t>
  </si>
  <si>
    <t>G3 Cell</t>
  </si>
  <si>
    <t>State of Alaska DOT</t>
  </si>
  <si>
    <t>107,93</t>
  </si>
  <si>
    <t>Jiffy Lube Peger Rd.</t>
  </si>
  <si>
    <t>Gabes Truck and Auto</t>
  </si>
  <si>
    <t>108,91</t>
  </si>
  <si>
    <t>Sterling Western Star</t>
  </si>
  <si>
    <t>I.H.G.*</t>
  </si>
  <si>
    <t>108,92</t>
  </si>
  <si>
    <t>Aurora Motors</t>
  </si>
  <si>
    <t>108,95</t>
  </si>
  <si>
    <t>Born Again Transmission</t>
  </si>
  <si>
    <t>109,91</t>
  </si>
  <si>
    <t>Sourdough Fuel</t>
  </si>
  <si>
    <t>?</t>
  </si>
  <si>
    <t>109,92</t>
  </si>
  <si>
    <t>Borough Land Fill</t>
  </si>
  <si>
    <t>110,91</t>
  </si>
  <si>
    <t>Gene's Chrysler</t>
  </si>
  <si>
    <t>110,92</t>
  </si>
  <si>
    <t>American Tire S. Cushman</t>
  </si>
  <si>
    <t>Auto Service Co.</t>
  </si>
  <si>
    <t>Chevrolet/Cadillac Lithia</t>
  </si>
  <si>
    <t>called 5 times, no response…</t>
  </si>
  <si>
    <t>Fairbanks Radiator</t>
  </si>
  <si>
    <t>Fairbanks Imports</t>
  </si>
  <si>
    <t>110,93</t>
  </si>
  <si>
    <t>Jiffy Lube College Rd.</t>
  </si>
  <si>
    <t>110,95</t>
  </si>
  <si>
    <t>Laidlaw Transit Bus</t>
  </si>
  <si>
    <t>Seekins Ford</t>
  </si>
  <si>
    <t>111,95</t>
  </si>
  <si>
    <t>Daves Shop</t>
  </si>
  <si>
    <t>120,92</t>
  </si>
  <si>
    <t>Expressway Oil &amp; Lube</t>
  </si>
  <si>
    <t>123,86</t>
  </si>
  <si>
    <t>Clage Automotive</t>
  </si>
  <si>
    <t>126,89</t>
  </si>
  <si>
    <t>Alyeska Facilites - All</t>
  </si>
  <si>
    <t>City of FBKS Mainenance</t>
  </si>
  <si>
    <t>FNSB School District</t>
  </si>
  <si>
    <t xml:space="preserve">Peger Rd I/M </t>
  </si>
  <si>
    <t>UAF Maint. Facility</t>
  </si>
  <si>
    <t>These are all estimates, no exact numbers.</t>
  </si>
  <si>
    <t>Total Gallons</t>
  </si>
  <si>
    <t>*I.H.G. = In House Guess</t>
  </si>
  <si>
    <t>%</t>
  </si>
  <si>
    <t>Assumed Fraction of Waste Oil Burned in Winter Months (Oct-Mar):</t>
  </si>
  <si>
    <t>Summary of Space Heating Emissions and Energy Use by Device Averaged Across Each Modeling Episode</t>
  </si>
  <si>
    <t>BSRS, 2020</t>
  </si>
  <si>
    <t>Grid 3 Domain</t>
  </si>
  <si>
    <t>PM Non-Attainment Area</t>
  </si>
  <si>
    <t>Source</t>
  </si>
  <si>
    <t>Space Heating Emissions (tons/day)</t>
  </si>
  <si>
    <t>Avg Daily</t>
  </si>
  <si>
    <t>Fuel Use</t>
  </si>
  <si>
    <t>Episode</t>
  </si>
  <si>
    <t>SCC</t>
  </si>
  <si>
    <t>Category</t>
  </si>
  <si>
    <t>VOC</t>
  </si>
  <si>
    <t>NOX</t>
  </si>
  <si>
    <t>SO2</t>
  </si>
  <si>
    <t>PM10-PRI</t>
  </si>
  <si>
    <t>PM25-PRI</t>
  </si>
  <si>
    <t>NH3</t>
  </si>
  <si>
    <t>CO</t>
  </si>
  <si>
    <t>mmBTU</t>
  </si>
  <si>
    <t>Units</t>
  </si>
  <si>
    <t>Wtd Avg</t>
  </si>
  <si>
    <t>FP</t>
  </si>
  <si>
    <t>tons</t>
  </si>
  <si>
    <t>Ins-Conv</t>
  </si>
  <si>
    <t>Ins-NonCat</t>
  </si>
  <si>
    <t>Ins-Cat</t>
  </si>
  <si>
    <t>WS-Conv</t>
  </si>
  <si>
    <t>WS-NonCat</t>
  </si>
  <si>
    <t>WS-Cat</t>
  </si>
  <si>
    <t>PS-Exempt</t>
  </si>
  <si>
    <t>PS-EPACert</t>
  </si>
  <si>
    <t>OWBWtd</t>
  </si>
  <si>
    <t>COil-Res</t>
  </si>
  <si>
    <t>1000 gal</t>
  </si>
  <si>
    <t>COil-Com</t>
  </si>
  <si>
    <t>Prtbl</t>
  </si>
  <si>
    <t>DVOil</t>
  </si>
  <si>
    <t>NtGas-Res</t>
  </si>
  <si>
    <t>mcf</t>
  </si>
  <si>
    <t>NtGas-Com</t>
  </si>
  <si>
    <t>CoalHt</t>
  </si>
  <si>
    <t>Coal-Com</t>
  </si>
  <si>
    <t>Wood-Com</t>
  </si>
  <si>
    <t>WasteOil</t>
  </si>
  <si>
    <t>Total</t>
  </si>
  <si>
    <t>PM2.5</t>
  </si>
  <si>
    <t>PM10</t>
  </si>
  <si>
    <t>Average Daily Fuel Use (1000 gal)</t>
  </si>
  <si>
    <t>Average Daily Energy Use (mmBTU)</t>
  </si>
  <si>
    <t>Shipping cost (&lt;1000ppm halogens)</t>
  </si>
  <si>
    <t xml:space="preserve">Total Cost </t>
  </si>
  <si>
    <t>$/gallon</t>
  </si>
  <si>
    <t xml:space="preserve">PM Space Heating Emission Factor </t>
  </si>
  <si>
    <t>PM Space Heating Total Emissions</t>
  </si>
  <si>
    <t>PM Space Heating Total Controlled Emissions</t>
  </si>
  <si>
    <t>gallons/yr</t>
  </si>
  <si>
    <t>$/yr</t>
  </si>
  <si>
    <t>Cost-Effectiveness Calculation</t>
  </si>
  <si>
    <t>Total amount of used motor oil used for direct combustion</t>
  </si>
  <si>
    <t>Shipping cost (&gt;1000ppm halogens)</t>
  </si>
  <si>
    <t>Space Heating EFs (lbs/1000 gallon)</t>
  </si>
  <si>
    <t>lbs/1000 gal</t>
  </si>
  <si>
    <t>lbs/yr</t>
  </si>
  <si>
    <t>Cost-effectiveness of control ($/pound) of PM reduction</t>
  </si>
  <si>
    <t>Cost-effectiveness  = cost ($/year)/emissions reduction (pounds/year)</t>
  </si>
  <si>
    <t>Cost-effectiveness of control ($/ton) of PM reduction</t>
  </si>
  <si>
    <t>Cost Information</t>
  </si>
  <si>
    <t>Electricity</t>
  </si>
  <si>
    <t>Assuming total amount of used oil handled is 135,150 gal/yr or 370 gal/day. To handle 370 gal/day, one fully automatic waste oil centifuge that can handle 360-1000gal/day is recommended. https://usfiltermaxx.com/en/wmo-centrifuge-waste-motor-oil-centrifuge/131-10000-g-waste-oil-centrifuge-for-motor-oil.html</t>
  </si>
  <si>
    <t>Engineering Judgement</t>
  </si>
  <si>
    <t>Info from commercial vendor, https://www.news-medical.net/whitepaper/20180731/Factors-to-Consider-When-Replacing-a-Laboratory-Centrifuge.aspx</t>
  </si>
  <si>
    <t xml:space="preserve">Labor - Supervisor, Sorting </t>
  </si>
  <si>
    <t>/hr salary and benefits</t>
  </si>
  <si>
    <t>Energy consumption of Centrifuge</t>
  </si>
  <si>
    <r>
      <t>kWh/m</t>
    </r>
    <r>
      <rPr>
        <vertAlign val="superscript"/>
        <sz val="11"/>
        <color theme="1"/>
        <rFont val="Calibri"/>
        <family val="2"/>
        <scheme val="minor"/>
      </rPr>
      <t>3</t>
    </r>
  </si>
  <si>
    <t>kWh/gal</t>
  </si>
  <si>
    <t>Cost Calculation</t>
  </si>
  <si>
    <t>Equipment</t>
  </si>
  <si>
    <t>Centrifuge</t>
  </si>
  <si>
    <t>Efficiency</t>
  </si>
  <si>
    <t>No of devices</t>
  </si>
  <si>
    <t>Used Oil Processed (gal/yr)</t>
  </si>
  <si>
    <t>Electricity cost</t>
  </si>
  <si>
    <t>$/kWh</t>
  </si>
  <si>
    <t>Total energy use (kWh/yr)</t>
  </si>
  <si>
    <t>Total energy cost ($/yr)</t>
  </si>
  <si>
    <t>Estimating Used Oil Cost Effectiveness (Method: Centrifuge Facility in Fairbanks)</t>
  </si>
  <si>
    <t>tons/yr</t>
  </si>
  <si>
    <t>Maintenance Cost ($/yr)</t>
  </si>
  <si>
    <t xml:space="preserve">annual salary </t>
  </si>
  <si>
    <t>years</t>
  </si>
  <si>
    <t>$</t>
  </si>
  <si>
    <t xml:space="preserve">$ </t>
  </si>
  <si>
    <t>Centrifuge Cost</t>
  </si>
  <si>
    <t>Forklift Cost</t>
  </si>
  <si>
    <t>Labor Operating Cost ($/yr)</t>
  </si>
  <si>
    <t>Capital Recovery Factor</t>
  </si>
  <si>
    <t>Total Costs ($/yr)</t>
  </si>
  <si>
    <t>Cost to process oil using a Centrifuge</t>
  </si>
  <si>
    <t>Cost-effectiveness  = cost ($/year)/emissions reduction (ton/year)</t>
  </si>
  <si>
    <t>Capital Cost ($)</t>
  </si>
  <si>
    <t>Installation Cost</t>
  </si>
  <si>
    <t xml:space="preserve">Based on conversation with a commercial vendor, installation is fairly straightforward and self-installed. </t>
  </si>
  <si>
    <t xml:space="preserve">Used oil (for e.g., motor oil, cooking oil, oil containing animal fat) due to the difference in boiling point has to be separated before processing in the centrifuge (Info from commercial vendor). Significant labor would be required for sorting the used oil and for supervision. Assuming a full-time staff person. </t>
  </si>
  <si>
    <t>Used oil centrifuges use gravitational force to affect oil-water separation. These centrifuges do not use media for separation, thus eliminating the media and related labor costs.  Annual maintenance is estimated based on enginnering judgement.</t>
  </si>
  <si>
    <t>Information obtained from a paper https://onlinelibrary.wiley.com/doi/10.1002/ceat.201800292</t>
  </si>
  <si>
    <t>AK State Energy Profile https://www.eia.gov/state/print.php?sid=AK</t>
  </si>
  <si>
    <t>Annual Amortized Capital Cost ($/yr)</t>
  </si>
  <si>
    <t>Building Construction Costs (incl. site selection, design, environmental documentation)</t>
  </si>
  <si>
    <r>
      <t>Energy Information Administration (EIA), the average house in the United States between 2,500 and 2,999 sqft in size uses </t>
    </r>
    <r>
      <rPr>
        <i/>
        <sz val="11"/>
        <color rgb="FF202124"/>
        <rFont val="Calibri"/>
        <family val="2"/>
        <scheme val="minor"/>
      </rPr>
      <t>12,280 kWh annually</t>
    </r>
  </si>
  <si>
    <t>Building</t>
  </si>
  <si>
    <t>Useful Life for centrifuge</t>
  </si>
  <si>
    <t>Useful life for building</t>
  </si>
  <si>
    <t xml:space="preserve">Description </t>
  </si>
  <si>
    <t>Costs</t>
  </si>
  <si>
    <t>Notes</t>
  </si>
  <si>
    <t>Calculation does not consider the economics of sale of processed oil nor charging a fee for collecting used oil</t>
  </si>
  <si>
    <t xml:space="preserve">Truck to lift and move containers of used oil. https://www.conger.com/new-used-forklift-prices/ </t>
  </si>
  <si>
    <t>HVAC System</t>
  </si>
  <si>
    <t>$/sq ft</t>
  </si>
  <si>
    <t>Cost of installing a new HVAC system is found to range between $1,500-$12,500 depending on the size of the unit, cooling/heating capacity, energy efficiency levels, local labor costs, and seasonality, etc. https://www.homeadvisor.com/cost/heating-and-cooling/. Assuming $12,500 considering these factors for Fairbanks.</t>
  </si>
  <si>
    <t>Tankage</t>
  </si>
  <si>
    <t>Useful life for tankage</t>
  </si>
  <si>
    <t>https://www.angi.com/articles/how-much-does-oil-tank-replacement-cost.htm</t>
  </si>
  <si>
    <t>$/tank</t>
  </si>
  <si>
    <t>Tankage to store both incoming and processed oil. Cost of a 500 gallon vertical storage tank is $879. https://www.ntotank.com/vertical-storage-tanks</t>
  </si>
  <si>
    <t xml:space="preserve">Considering the volume of oil handled as 400 gal/day, four storage tanks are considered, 2 for incoming and 2 for processed (conservative assumption - assuming oil processed will be removed once in 2 days). </t>
  </si>
  <si>
    <t>Useful life for forklift</t>
  </si>
  <si>
    <t xml:space="preserve">years </t>
  </si>
  <si>
    <t>Useful life ranges between 8000 - 20,000 hours, assuming 15,000 hours and converted it to number of years. https://www.arpac.ca/arpac-blog/lifespan-of-a-forklift</t>
  </si>
  <si>
    <t>Useful life for HVAC system</t>
  </si>
  <si>
    <t>https://www.princetonair.com/blog/what-average-life-expectancy-hvac-system#:~:text=A%3A%20On%20Average%2C%2010%2D20%20Years&amp;text=Here%20are%20the%20average%20life,Geothermal%3A%2030%20years</t>
  </si>
  <si>
    <t>Energy consumption of forklift</t>
  </si>
  <si>
    <t>kWh/yr</t>
  </si>
  <si>
    <t>https://www.conger.com/electric-forklifts-vs-propane/#:~:text=How%20much%20electricity%20does%20an,2%2C000%20operating%20hours%20per%20year.</t>
  </si>
  <si>
    <t>Forklift</t>
  </si>
  <si>
    <t>Energy Consumption Costs</t>
  </si>
  <si>
    <t>Cost of Equipments</t>
  </si>
  <si>
    <t>Operational and Maintenance Costs (Centrifuge)</t>
  </si>
  <si>
    <t>Operational and Maintenance Costs (Forklift)</t>
  </si>
  <si>
    <t>https://atlastoyota.com/blog/average-forklift-cost-per-hour/</t>
  </si>
  <si>
    <t>Cost of Building</t>
  </si>
  <si>
    <t>assuming 100% emissions reduction by processing at centrifuge facility and converting to tons</t>
  </si>
  <si>
    <t xml:space="preserve">Capital Recovery Rate </t>
  </si>
  <si>
    <t>https://www.federalreserve.gov/releases/h15/ as of 01/17/2023</t>
  </si>
  <si>
    <t>Estimating Used Oil Cost Effectiveness (Option 1: Shipping Used Oil to Anchorage)</t>
  </si>
  <si>
    <t>BACM Measure 70: Used oil burners</t>
  </si>
  <si>
    <t>Key Data Sources, Assumptions, Methods:</t>
  </si>
  <si>
    <t>- FBNS Solid Waste Division collects used oil from residents and very small quantity generators (VSQG) at the main location and transfer centers</t>
  </si>
  <si>
    <t xml:space="preserve">- Program only pays for shipping costs (not processing or re-refining) and does not incur any monetary gain from processing or sale of used oil </t>
  </si>
  <si>
    <t>- VSQG are limited to 26 gallons/month and large quantity generators are not included in the collection service</t>
  </si>
  <si>
    <t>Survey data from 2010 based on which the emissions inventories for the approved 2020 Serious SIP amendments were based on was utilized</t>
  </si>
  <si>
    <t>- Total amount of used motor oil used for direct combustion gathered from 25 local companies is estimated to be 135,150 gallons per year (see tab "WasteOilUse")</t>
  </si>
  <si>
    <r>
      <t>2020 Summary of Space Heating Emissions and Energy Use for Waste Oil</t>
    </r>
    <r>
      <rPr>
        <b/>
        <i/>
        <sz val="11"/>
        <color theme="4"/>
        <rFont val="Calibri"/>
        <family val="2"/>
        <scheme val="minor"/>
      </rPr>
      <t xml:space="preserve"> (see tab "2020EPEmissions")</t>
    </r>
  </si>
  <si>
    <t>1 ton=2000 lbs</t>
  </si>
  <si>
    <t>from 2010 survey of motor shops</t>
  </si>
  <si>
    <t>from FNSB Solid Waste Division</t>
  </si>
  <si>
    <t>- Current cost of shipping used oil with &lt;1000 ppm halogens is $0.95/gal, for used oil with &gt;1000ppm halogens, the shipping costs increases to $3.58/gal</t>
  </si>
  <si>
    <t>assuming used oil to be non-hazardous (&lt;1000ppm halogens)</t>
  </si>
  <si>
    <t>assuming the emissions reduction to be 50% since there is no information on the fraction of used oil used for direct combustion versus disposal (while shipping the used oil compared to disposal will result in 100% emissions reduction, replacing used oil for combustion will not result in 100% reduction as burning used oil results in additional emissions</t>
  </si>
  <si>
    <t>Estimating Used Oil Cost Effectiveness (Option 2: Establishing a Centrifuge Facility in Fairbanks)</t>
  </si>
  <si>
    <t>Cost-effectiveness of control ($/ton) of PM reduction for Option 1</t>
  </si>
  <si>
    <t>Several online resources were researched for obtaining the cost estimates as listed in the "Notes" column below</t>
  </si>
  <si>
    <t xml:space="preserve">Assuming to be 5000 sq ft in the Borough and estimating the cost based on FB Recycling Plan for solid waste where the cost for a new building of size 18,000 sqft is estimated to be $4,700,000. The cost includes site selection, procurement of land, design and obtaining environmental clearances. </t>
  </si>
  <si>
    <t>2015 recycling report prepared for the Fairbanks North Star Borough’s (FNSB) Solid Waste Division for estimate of the building costs for the centrifuge facility (https://www.fnsb.gov/DocumentCenter/View/1262/2015-PDC-Recycling-Plan-and-Analysis-PDF)</t>
  </si>
  <si>
    <t>Obtained from Fairbanks North Star Borough. Assuming 2080 working hours in a year</t>
  </si>
  <si>
    <t>$/ton</t>
  </si>
  <si>
    <t>PM</t>
  </si>
  <si>
    <t>Cost-effectiveness of control ($/ton) for Option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</si>
</sst>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164" formatCode="#,##0.000"/>
    <numFmt numFmtId="165" formatCode="#,##0.0"/>
    <numFmt numFmtId="166" formatCode="0.000000"/>
    <numFmt numFmtId="167" formatCode="0.0%"/>
    <numFmt numFmtId="168" formatCode="0.0000"/>
    <numFmt numFmtId="169" formatCode="0.000"/>
    <numFmt numFmtId="170" formatCode="&quot;$&quot;#,##0.00"/>
    <numFmt numFmtId="171" formatCode="&quot;$&quot;#,##0"/>
  </numFmts>
  <fonts count="23" x14ac:knownFonts="1">
    <font>
      <sz val="11"/>
      <color theme="1"/>
      <name val="Calibri"/>
      <family val="2"/>
      <scheme val="minor"/>
    </font>
    <font>
      <b/>
      <sz val="11"/>
      <color theme="1"/>
      <name val="Calibri"/>
      <family val="2"/>
      <scheme val="minor"/>
    </font>
    <font>
      <b/>
      <sz val="12"/>
      <color rgb="FFFF0000"/>
      <name val="Calibri"/>
      <family val="2"/>
      <scheme val="minor"/>
    </font>
    <font>
      <b/>
      <sz val="11"/>
      <color theme="4"/>
      <name val="Calibri"/>
      <family val="2"/>
      <scheme val="minor"/>
    </font>
    <font>
      <sz val="11"/>
      <name val="Calibri"/>
      <family val="2"/>
      <scheme val="minor"/>
    </font>
    <font>
      <sz val="10"/>
      <name val="Arial"/>
      <family val="2"/>
    </font>
    <font>
      <b/>
      <u/>
      <sz val="16"/>
      <name val="Arial"/>
      <family val="2"/>
    </font>
    <font>
      <u/>
      <sz val="10"/>
      <name val="Arial"/>
      <family val="2"/>
    </font>
    <font>
      <b/>
      <sz val="10"/>
      <name val="Arial"/>
      <family val="2"/>
    </font>
    <font>
      <sz val="8"/>
      <name val="Arial"/>
      <family val="2"/>
    </font>
    <font>
      <b/>
      <sz val="12"/>
      <color theme="1"/>
      <name val="Calibri"/>
      <family val="2"/>
      <scheme val="minor"/>
    </font>
    <font>
      <b/>
      <sz val="11"/>
      <color rgb="FF0000FF"/>
      <name val="Calibri"/>
      <family val="2"/>
      <scheme val="minor"/>
    </font>
    <font>
      <b/>
      <sz val="11"/>
      <color rgb="FFFF0000"/>
      <name val="Calibri"/>
      <family val="2"/>
      <scheme val="minor"/>
    </font>
    <font>
      <b/>
      <sz val="11"/>
      <name val="Calibri"/>
      <family val="2"/>
      <scheme val="minor"/>
    </font>
    <font>
      <i/>
      <sz val="11"/>
      <color theme="1"/>
      <name val="Calibri"/>
      <family val="2"/>
      <scheme val="minor"/>
    </font>
    <font>
      <sz val="11"/>
      <color rgb="FF00B050"/>
      <name val="Calibri"/>
      <family val="2"/>
      <scheme val="minor"/>
    </font>
    <font>
      <vertAlign val="superscript"/>
      <sz val="11"/>
      <color theme="1"/>
      <name val="Calibri"/>
      <family val="2"/>
      <scheme val="minor"/>
    </font>
    <font>
      <i/>
      <sz val="11"/>
      <color rgb="FFFF0000"/>
      <name val="Calibri"/>
      <family val="2"/>
      <scheme val="minor"/>
    </font>
    <font>
      <i/>
      <sz val="11"/>
      <color rgb="FF202124"/>
      <name val="Calibri"/>
      <family val="2"/>
      <scheme val="minor"/>
    </font>
    <font>
      <b/>
      <sz val="14"/>
      <color theme="1"/>
      <name val="Calibri"/>
      <family val="2"/>
      <scheme val="minor"/>
    </font>
    <font>
      <b/>
      <i/>
      <u/>
      <sz val="11"/>
      <color theme="1"/>
      <name val="Calibri"/>
      <family val="2"/>
      <scheme val="minor"/>
    </font>
    <font>
      <b/>
      <i/>
      <sz val="11"/>
      <color theme="4"/>
      <name val="Calibri"/>
      <family val="2"/>
      <scheme val="minor"/>
    </font>
    <font>
      <i/>
      <sz val="11"/>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double">
        <color auto="1"/>
      </left>
      <right/>
      <top style="double">
        <color auto="1"/>
      </top>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5" fillId="0" borderId="0"/>
  </cellStyleXfs>
  <cellXfs count="145">
    <xf numFmtId="0" fontId="0" fillId="0" borderId="0" xfId="0"/>
    <xf numFmtId="0" fontId="3" fillId="0" borderId="0" xfId="0" applyFont="1"/>
    <xf numFmtId="165" fontId="0" fillId="0" borderId="0" xfId="0" applyNumberFormat="1"/>
    <xf numFmtId="3" fontId="0" fillId="0" borderId="0" xfId="0" applyNumberFormat="1"/>
    <xf numFmtId="0" fontId="6" fillId="0" borderId="0" xfId="1" applyFont="1"/>
    <xf numFmtId="0" fontId="5" fillId="0" borderId="0" xfId="1"/>
    <xf numFmtId="0" fontId="7" fillId="0" borderId="3" xfId="1" applyFont="1" applyBorder="1"/>
    <xf numFmtId="0" fontId="5" fillId="0" borderId="4" xfId="1" applyBorder="1"/>
    <xf numFmtId="0" fontId="5" fillId="0" borderId="5" xfId="1" applyBorder="1"/>
    <xf numFmtId="0" fontId="7" fillId="0" borderId="5" xfId="1" applyFont="1" applyBorder="1"/>
    <xf numFmtId="0" fontId="7" fillId="0" borderId="4" xfId="1" applyFont="1" applyBorder="1"/>
    <xf numFmtId="0" fontId="5" fillId="0" borderId="0" xfId="1" applyAlignment="1">
      <alignment horizontal="center" vertical="center"/>
    </xf>
    <xf numFmtId="0" fontId="5" fillId="0" borderId="6" xfId="1" applyBorder="1"/>
    <xf numFmtId="0" fontId="5" fillId="0" borderId="7" xfId="1" applyBorder="1"/>
    <xf numFmtId="0" fontId="5" fillId="0" borderId="0" xfId="1" applyAlignment="1">
      <alignment horizontal="center"/>
    </xf>
    <xf numFmtId="0" fontId="5" fillId="0" borderId="8" xfId="1" applyBorder="1"/>
    <xf numFmtId="0" fontId="5" fillId="0" borderId="9" xfId="1" applyBorder="1"/>
    <xf numFmtId="0" fontId="5" fillId="0" borderId="10" xfId="1" applyBorder="1"/>
    <xf numFmtId="0" fontId="5" fillId="0" borderId="8" xfId="1" applyBorder="1" applyAlignment="1">
      <alignment horizontal="center"/>
    </xf>
    <xf numFmtId="0" fontId="5" fillId="0" borderId="10" xfId="1" applyBorder="1" applyAlignment="1">
      <alignment horizontal="center"/>
    </xf>
    <xf numFmtId="3" fontId="5" fillId="0" borderId="9" xfId="1" applyNumberFormat="1" applyBorder="1" applyAlignment="1">
      <alignment horizontal="center"/>
    </xf>
    <xf numFmtId="3" fontId="5" fillId="0" borderId="0" xfId="1" applyNumberFormat="1" applyAlignment="1">
      <alignment horizontal="center" vertical="center"/>
    </xf>
    <xf numFmtId="166" fontId="5" fillId="0" borderId="0" xfId="1" applyNumberFormat="1"/>
    <xf numFmtId="0" fontId="8" fillId="2" borderId="0" xfId="1" applyFont="1" applyFill="1" applyAlignment="1">
      <alignment horizontal="center"/>
    </xf>
    <xf numFmtId="0" fontId="9" fillId="0" borderId="8" xfId="1" applyFont="1" applyBorder="1" applyAlignment="1">
      <alignment horizontal="center"/>
    </xf>
    <xf numFmtId="0" fontId="5" fillId="3" borderId="8" xfId="1" applyFill="1" applyBorder="1"/>
    <xf numFmtId="0" fontId="5" fillId="3" borderId="9" xfId="1" applyFill="1" applyBorder="1"/>
    <xf numFmtId="0" fontId="5" fillId="3" borderId="10" xfId="1" applyFill="1" applyBorder="1"/>
    <xf numFmtId="0" fontId="5" fillId="3" borderId="8" xfId="1" applyFill="1" applyBorder="1" applyAlignment="1">
      <alignment horizontal="center"/>
    </xf>
    <xf numFmtId="0" fontId="5" fillId="3" borderId="10" xfId="1" applyFill="1" applyBorder="1" applyAlignment="1">
      <alignment horizontal="center"/>
    </xf>
    <xf numFmtId="3" fontId="5" fillId="3" borderId="9" xfId="1" applyNumberFormat="1" applyFill="1" applyBorder="1" applyAlignment="1">
      <alignment horizontal="center"/>
    </xf>
    <xf numFmtId="0" fontId="5" fillId="0" borderId="9" xfId="1" applyBorder="1" applyAlignment="1">
      <alignment horizontal="center"/>
    </xf>
    <xf numFmtId="0" fontId="5" fillId="2" borderId="8" xfId="1" applyFill="1" applyBorder="1"/>
    <xf numFmtId="0" fontId="5" fillId="2" borderId="9" xfId="1" applyFill="1" applyBorder="1"/>
    <xf numFmtId="0" fontId="5" fillId="2" borderId="10" xfId="1" applyFill="1" applyBorder="1"/>
    <xf numFmtId="0" fontId="5" fillId="2" borderId="8" xfId="1" applyFill="1" applyBorder="1" applyAlignment="1">
      <alignment horizontal="center"/>
    </xf>
    <xf numFmtId="0" fontId="5" fillId="2" borderId="10" xfId="1" applyFill="1" applyBorder="1" applyAlignment="1">
      <alignment horizontal="center"/>
    </xf>
    <xf numFmtId="0" fontId="5" fillId="2" borderId="9" xfId="1" applyFill="1" applyBorder="1" applyAlignment="1">
      <alignment horizontal="center"/>
    </xf>
    <xf numFmtId="0" fontId="5" fillId="2" borderId="11" xfId="1" applyFill="1" applyBorder="1"/>
    <xf numFmtId="0" fontId="5" fillId="2" borderId="12" xfId="1" applyFill="1" applyBorder="1"/>
    <xf numFmtId="0" fontId="5" fillId="2" borderId="13" xfId="1" applyFill="1" applyBorder="1"/>
    <xf numFmtId="0" fontId="5" fillId="2" borderId="11" xfId="1" applyFill="1" applyBorder="1" applyAlignment="1">
      <alignment horizontal="center"/>
    </xf>
    <xf numFmtId="0" fontId="5" fillId="2" borderId="13" xfId="1" applyFill="1" applyBorder="1" applyAlignment="1">
      <alignment horizontal="center"/>
    </xf>
    <xf numFmtId="0" fontId="5" fillId="2" borderId="14" xfId="1" applyFill="1" applyBorder="1" applyAlignment="1">
      <alignment horizontal="center"/>
    </xf>
    <xf numFmtId="0" fontId="5" fillId="2" borderId="12" xfId="1" applyFill="1" applyBorder="1" applyAlignment="1">
      <alignment horizontal="center"/>
    </xf>
    <xf numFmtId="0" fontId="5" fillId="2" borderId="15" xfId="1" applyFill="1" applyBorder="1"/>
    <xf numFmtId="0" fontId="5" fillId="2" borderId="16" xfId="1" applyFill="1" applyBorder="1"/>
    <xf numFmtId="0" fontId="5" fillId="2" borderId="17" xfId="1" applyFill="1" applyBorder="1"/>
    <xf numFmtId="0" fontId="5" fillId="2" borderId="15" xfId="1" applyFill="1" applyBorder="1" applyAlignment="1">
      <alignment horizontal="center"/>
    </xf>
    <xf numFmtId="0" fontId="5" fillId="2" borderId="17" xfId="1" applyFill="1" applyBorder="1" applyAlignment="1">
      <alignment horizontal="center"/>
    </xf>
    <xf numFmtId="0" fontId="5" fillId="2" borderId="16" xfId="1" applyFill="1" applyBorder="1" applyAlignment="1">
      <alignment horizontal="center"/>
    </xf>
    <xf numFmtId="3" fontId="8" fillId="0" borderId="9" xfId="1" applyNumberFormat="1" applyFont="1" applyBorder="1" applyAlignment="1">
      <alignment horizontal="center"/>
    </xf>
    <xf numFmtId="0" fontId="9" fillId="0" borderId="0" xfId="1" applyFont="1"/>
    <xf numFmtId="167" fontId="5" fillId="0" borderId="0" xfId="1" applyNumberFormat="1"/>
    <xf numFmtId="0" fontId="8" fillId="0" borderId="0" xfId="1" applyFont="1" applyAlignment="1">
      <alignment horizontal="right"/>
    </xf>
    <xf numFmtId="9" fontId="8" fillId="2" borderId="0" xfId="1" applyNumberFormat="1" applyFont="1" applyFill="1" applyAlignment="1">
      <alignment horizontal="center"/>
    </xf>
    <xf numFmtId="0" fontId="12"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0" fillId="0" borderId="18" xfId="0" applyBorder="1" applyAlignment="1">
      <alignment horizontal="center"/>
    </xf>
    <xf numFmtId="0" fontId="1" fillId="0" borderId="18" xfId="0" applyFont="1" applyBorder="1" applyAlignment="1">
      <alignment horizontal="center"/>
    </xf>
    <xf numFmtId="168" fontId="0" fillId="0" borderId="0" xfId="0" applyNumberFormat="1"/>
    <xf numFmtId="0" fontId="0" fillId="4" borderId="19" xfId="0" applyFill="1" applyBorder="1" applyAlignment="1">
      <alignment horizontal="center"/>
    </xf>
    <xf numFmtId="168" fontId="0" fillId="4" borderId="19" xfId="0" applyNumberFormat="1" applyFill="1" applyBorder="1"/>
    <xf numFmtId="3" fontId="0" fillId="4" borderId="19" xfId="0" applyNumberFormat="1" applyFill="1" applyBorder="1"/>
    <xf numFmtId="164" fontId="0" fillId="4" borderId="19" xfId="0" applyNumberFormat="1" applyFill="1" applyBorder="1"/>
    <xf numFmtId="0" fontId="0" fillId="4" borderId="19" xfId="0" applyFill="1" applyBorder="1"/>
    <xf numFmtId="0" fontId="1" fillId="0" borderId="0" xfId="0" applyFont="1" applyAlignment="1">
      <alignment horizontal="center"/>
    </xf>
    <xf numFmtId="168" fontId="1" fillId="0" borderId="0" xfId="0" applyNumberFormat="1" applyFont="1"/>
    <xf numFmtId="3" fontId="1" fillId="0" borderId="0" xfId="0" applyNumberFormat="1" applyFont="1"/>
    <xf numFmtId="0" fontId="0" fillId="0" borderId="9" xfId="0" applyBorder="1" applyAlignment="1">
      <alignment horizontal="center"/>
    </xf>
    <xf numFmtId="0" fontId="0" fillId="0" borderId="0" xfId="0" applyAlignment="1">
      <alignment horizontal="left"/>
    </xf>
    <xf numFmtId="0" fontId="0" fillId="0" borderId="9" xfId="0" applyBorder="1" applyAlignment="1">
      <alignment horizontal="left"/>
    </xf>
    <xf numFmtId="168" fontId="0" fillId="4" borderId="9" xfId="0" applyNumberFormat="1" applyFill="1" applyBorder="1" applyAlignment="1">
      <alignment horizontal="center"/>
    </xf>
    <xf numFmtId="168" fontId="0" fillId="0" borderId="9" xfId="0" applyNumberFormat="1" applyBorder="1" applyAlignment="1">
      <alignment horizontal="center"/>
    </xf>
    <xf numFmtId="169" fontId="0" fillId="0" borderId="9" xfId="0" applyNumberFormat="1" applyBorder="1" applyAlignment="1">
      <alignment horizontal="center"/>
    </xf>
    <xf numFmtId="1" fontId="0" fillId="0" borderId="9" xfId="0" applyNumberFormat="1" applyBorder="1" applyAlignment="1">
      <alignment horizontal="center"/>
    </xf>
    <xf numFmtId="0" fontId="0" fillId="0" borderId="9" xfId="0" applyBorder="1" applyAlignment="1">
      <alignment horizontal="right"/>
    </xf>
    <xf numFmtId="0" fontId="0" fillId="0" borderId="9" xfId="0" applyBorder="1"/>
    <xf numFmtId="2" fontId="0" fillId="0" borderId="9" xfId="0" applyNumberFormat="1" applyBorder="1"/>
    <xf numFmtId="0" fontId="14" fillId="0" borderId="0" xfId="0" applyFont="1"/>
    <xf numFmtId="0" fontId="15" fillId="0" borderId="9" xfId="0" applyFont="1" applyBorder="1" applyAlignment="1">
      <alignment horizontal="left"/>
    </xf>
    <xf numFmtId="0" fontId="15" fillId="0" borderId="9" xfId="0" applyFont="1" applyBorder="1" applyAlignment="1">
      <alignment horizontal="center"/>
    </xf>
    <xf numFmtId="2" fontId="15" fillId="0" borderId="9" xfId="0" applyNumberFormat="1" applyFont="1" applyBorder="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0" fontId="1" fillId="0" borderId="0" xfId="0" applyFont="1"/>
    <xf numFmtId="0" fontId="1" fillId="0" borderId="22" xfId="0" applyFont="1" applyBorder="1" applyAlignment="1">
      <alignment horizontal="left"/>
    </xf>
    <xf numFmtId="165" fontId="0" fillId="0" borderId="9" xfId="0" applyNumberFormat="1" applyBorder="1"/>
    <xf numFmtId="170" fontId="0" fillId="0" borderId="0" xfId="0" applyNumberFormat="1"/>
    <xf numFmtId="170" fontId="1" fillId="0" borderId="0" xfId="0" applyNumberFormat="1" applyFont="1"/>
    <xf numFmtId="0" fontId="0" fillId="0" borderId="21" xfId="0" applyBorder="1"/>
    <xf numFmtId="6" fontId="0" fillId="0" borderId="0" xfId="0" applyNumberFormat="1"/>
    <xf numFmtId="6" fontId="0" fillId="0" borderId="0" xfId="0" applyNumberFormat="1" applyAlignment="1">
      <alignment horizontal="right"/>
    </xf>
    <xf numFmtId="9" fontId="0" fillId="0" borderId="0" xfId="0" applyNumberFormat="1"/>
    <xf numFmtId="0" fontId="0" fillId="0" borderId="19" xfId="0" applyBorder="1" applyAlignment="1">
      <alignment wrapText="1"/>
    </xf>
    <xf numFmtId="0" fontId="14" fillId="0" borderId="0" xfId="0" applyFont="1" applyAlignment="1">
      <alignment horizontal="left"/>
    </xf>
    <xf numFmtId="3" fontId="0" fillId="0" borderId="9" xfId="0" applyNumberFormat="1" applyBorder="1" applyAlignment="1">
      <alignment horizontal="right"/>
    </xf>
    <xf numFmtId="2" fontId="0" fillId="0" borderId="9" xfId="0" applyNumberFormat="1" applyBorder="1" applyAlignment="1">
      <alignment horizontal="right"/>
    </xf>
    <xf numFmtId="0" fontId="0" fillId="0" borderId="19" xfId="0" applyBorder="1"/>
    <xf numFmtId="8" fontId="0" fillId="0" borderId="0" xfId="0" applyNumberFormat="1"/>
    <xf numFmtId="0" fontId="17" fillId="0" borderId="0" xfId="0" applyFont="1"/>
    <xf numFmtId="8" fontId="0" fillId="0" borderId="9" xfId="0" applyNumberFormat="1" applyBorder="1"/>
    <xf numFmtId="6" fontId="0" fillId="0" borderId="9" xfId="0" applyNumberFormat="1" applyBorder="1" applyAlignment="1">
      <alignment horizontal="right"/>
    </xf>
    <xf numFmtId="3" fontId="0" fillId="0" borderId="9" xfId="0" applyNumberFormat="1" applyBorder="1"/>
    <xf numFmtId="6" fontId="0" fillId="0" borderId="9" xfId="0" applyNumberFormat="1" applyBorder="1"/>
    <xf numFmtId="168" fontId="0" fillId="0" borderId="9" xfId="0" applyNumberFormat="1" applyBorder="1"/>
    <xf numFmtId="10" fontId="0" fillId="0" borderId="9" xfId="0" applyNumberFormat="1" applyBorder="1"/>
    <xf numFmtId="0" fontId="0" fillId="0" borderId="20" xfId="0" applyBorder="1"/>
    <xf numFmtId="168" fontId="1" fillId="4" borderId="9" xfId="0" applyNumberFormat="1" applyFont="1" applyFill="1" applyBorder="1" applyAlignment="1">
      <alignment horizontal="center"/>
    </xf>
    <xf numFmtId="168" fontId="1" fillId="4" borderId="9" xfId="0" applyNumberFormat="1" applyFont="1" applyFill="1" applyBorder="1"/>
    <xf numFmtId="0" fontId="0" fillId="0" borderId="9" xfId="0" quotePrefix="1" applyBorder="1" applyAlignment="1">
      <alignment horizontal="right"/>
    </xf>
    <xf numFmtId="6" fontId="1" fillId="5" borderId="0" xfId="0" applyNumberFormat="1" applyFont="1" applyFill="1" applyAlignment="1">
      <alignment horizontal="right"/>
    </xf>
    <xf numFmtId="0" fontId="0" fillId="0" borderId="22" xfId="0" applyBorder="1" applyAlignment="1">
      <alignment horizontal="right"/>
    </xf>
    <xf numFmtId="0" fontId="13" fillId="0" borderId="0" xfId="0" applyFont="1"/>
    <xf numFmtId="6" fontId="1" fillId="0" borderId="0" xfId="0" applyNumberFormat="1" applyFont="1" applyAlignment="1">
      <alignment horizontal="right"/>
    </xf>
    <xf numFmtId="169" fontId="0" fillId="0" borderId="0" xfId="0" applyNumberFormat="1"/>
    <xf numFmtId="0" fontId="19" fillId="0" borderId="0" xfId="0" applyFont="1"/>
    <xf numFmtId="0" fontId="20" fillId="0" borderId="0" xfId="0" applyFont="1"/>
    <xf numFmtId="0" fontId="14" fillId="0" borderId="0" xfId="0" quotePrefix="1" applyFont="1" applyAlignment="1">
      <alignment horizontal="left" indent="1"/>
    </xf>
    <xf numFmtId="0" fontId="14" fillId="0" borderId="0" xfId="0" applyFont="1" applyAlignment="1">
      <alignment horizontal="left" indent="1"/>
    </xf>
    <xf numFmtId="0" fontId="13" fillId="0" borderId="0" xfId="0" applyFont="1" applyAlignment="1">
      <alignment horizontal="left"/>
    </xf>
    <xf numFmtId="0" fontId="14" fillId="0" borderId="9" xfId="0" applyFont="1" applyBorder="1"/>
    <xf numFmtId="0" fontId="17" fillId="0" borderId="9" xfId="0" applyFont="1" applyBorder="1"/>
    <xf numFmtId="8" fontId="1" fillId="0" borderId="0" xfId="0" applyNumberFormat="1" applyFont="1"/>
    <xf numFmtId="0" fontId="0" fillId="0" borderId="22" xfId="0" applyBorder="1" applyAlignment="1">
      <alignment horizontal="left"/>
    </xf>
    <xf numFmtId="8" fontId="0" fillId="0" borderId="0" xfId="0" applyNumberFormat="1" applyAlignment="1">
      <alignment vertical="center"/>
    </xf>
    <xf numFmtId="0" fontId="22" fillId="0" borderId="0" xfId="0" applyFont="1" applyAlignment="1">
      <alignment horizontal="left"/>
    </xf>
    <xf numFmtId="171" fontId="1" fillId="0" borderId="0" xfId="0" applyNumberFormat="1" applyFont="1"/>
    <xf numFmtId="0" fontId="4" fillId="0" borderId="20" xfId="0" applyFont="1" applyBorder="1"/>
    <xf numFmtId="0" fontId="0" fillId="0" borderId="21" xfId="0" applyBorder="1"/>
    <xf numFmtId="0" fontId="13" fillId="0" borderId="1" xfId="0" applyFont="1" applyBorder="1" applyAlignment="1">
      <alignment horizontal="left"/>
    </xf>
    <xf numFmtId="0" fontId="13" fillId="0" borderId="2" xfId="0" applyFont="1" applyBorder="1" applyAlignment="1">
      <alignment horizontal="left"/>
    </xf>
    <xf numFmtId="0" fontId="0" fillId="0" borderId="20" xfId="0" applyBorder="1"/>
    <xf numFmtId="0" fontId="0" fillId="0" borderId="20" xfId="0" applyBorder="1" applyAlignment="1">
      <alignment horizontal="left"/>
    </xf>
    <xf numFmtId="0" fontId="0" fillId="0" borderId="23" xfId="0" applyBorder="1"/>
    <xf numFmtId="6" fontId="0" fillId="0" borderId="20" xfId="0" applyNumberFormat="1" applyBorder="1"/>
    <xf numFmtId="0" fontId="2" fillId="0" borderId="1" xfId="0" applyFont="1" applyBorder="1" applyAlignment="1">
      <alignment horizontal="center"/>
    </xf>
    <xf numFmtId="0" fontId="2"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cellXfs>
  <cellStyles count="2">
    <cellStyle name="Normal" xfId="0" builtinId="0"/>
    <cellStyle name="Normal 5" xfId="1" xr:uid="{96B755FB-52D0-4AAD-9859-77D8753EC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6BEA8-B505-4ADF-AC58-56414977D8D2}">
  <sheetPr codeName="Sheet1"/>
  <dimension ref="A1:W32"/>
  <sheetViews>
    <sheetView tabSelected="1" workbookViewId="0">
      <selection activeCell="Q22" sqref="Q22"/>
    </sheetView>
  </sheetViews>
  <sheetFormatPr defaultRowHeight="15" x14ac:dyDescent="0.25"/>
  <cols>
    <col min="2" max="2" width="48.28515625" customWidth="1"/>
    <col min="3" max="3" width="10.85546875" bestFit="1" customWidth="1"/>
    <col min="4" max="4" width="20.5703125" bestFit="1" customWidth="1"/>
    <col min="5" max="5" width="22.42578125" customWidth="1"/>
  </cols>
  <sheetData>
    <row r="1" spans="1:23" ht="19.5" thickBot="1" x14ac:dyDescent="0.35">
      <c r="A1" s="119" t="s">
        <v>208</v>
      </c>
    </row>
    <row r="2" spans="1:23" ht="15.75" thickTop="1" x14ac:dyDescent="0.25">
      <c r="A2" s="133" t="s">
        <v>207</v>
      </c>
      <c r="B2" s="134"/>
      <c r="C2" s="134"/>
      <c r="D2" s="134"/>
      <c r="E2" s="134"/>
      <c r="F2" s="134"/>
      <c r="G2" s="134"/>
      <c r="H2" s="134"/>
      <c r="I2" s="134"/>
      <c r="J2" s="134"/>
      <c r="K2" s="134"/>
      <c r="L2" s="134"/>
    </row>
    <row r="4" spans="1:23" x14ac:dyDescent="0.25">
      <c r="A4" s="120" t="s">
        <v>209</v>
      </c>
    </row>
    <row r="5" spans="1:23" x14ac:dyDescent="0.25">
      <c r="A5" s="121" t="s">
        <v>0</v>
      </c>
    </row>
    <row r="6" spans="1:23" x14ac:dyDescent="0.25">
      <c r="A6" s="121" t="s">
        <v>210</v>
      </c>
    </row>
    <row r="7" spans="1:23" x14ac:dyDescent="0.25">
      <c r="A7" s="121" t="s">
        <v>212</v>
      </c>
    </row>
    <row r="8" spans="1:23" x14ac:dyDescent="0.25">
      <c r="A8" s="121" t="s">
        <v>211</v>
      </c>
    </row>
    <row r="9" spans="1:23" x14ac:dyDescent="0.25">
      <c r="A9" s="121" t="s">
        <v>219</v>
      </c>
    </row>
    <row r="10" spans="1:23" x14ac:dyDescent="0.25">
      <c r="A10" s="122" t="s">
        <v>213</v>
      </c>
    </row>
    <row r="11" spans="1:23" x14ac:dyDescent="0.25">
      <c r="A11" s="121" t="s">
        <v>214</v>
      </c>
    </row>
    <row r="12" spans="1:23" x14ac:dyDescent="0.25">
      <c r="A12" s="121"/>
    </row>
    <row r="13" spans="1:23" x14ac:dyDescent="0.25">
      <c r="A13" s="1" t="s">
        <v>215</v>
      </c>
    </row>
    <row r="14" spans="1:23" x14ac:dyDescent="0.25">
      <c r="A14" s="131"/>
      <c r="B14" s="132"/>
      <c r="C14" s="73" t="s">
        <v>107</v>
      </c>
      <c r="D14" s="73" t="s">
        <v>108</v>
      </c>
      <c r="E14" s="73" t="s">
        <v>75</v>
      </c>
    </row>
    <row r="15" spans="1:23" x14ac:dyDescent="0.25">
      <c r="A15" s="72" t="s">
        <v>67</v>
      </c>
      <c r="B15" s="70"/>
      <c r="C15" s="74">
        <f>'2020EpEmissions'!Q25</f>
        <v>2.6089203443762409E-3</v>
      </c>
      <c r="D15" s="74">
        <f>'2020EpEmissions'!R25</f>
        <v>2.6089203443762409E-3</v>
      </c>
      <c r="E15" s="75">
        <f>'2020EpEmissions'!P25</f>
        <v>1.8531122266994819E-2</v>
      </c>
      <c r="F15" s="57"/>
      <c r="G15" s="57"/>
      <c r="H15" s="57"/>
      <c r="I15" s="57"/>
      <c r="J15" s="57"/>
      <c r="K15" s="67"/>
      <c r="L15" s="67"/>
      <c r="M15" s="67"/>
      <c r="N15" s="57"/>
      <c r="O15" s="57"/>
      <c r="P15" s="57"/>
      <c r="Q15" s="57"/>
      <c r="R15" s="57"/>
      <c r="S15" s="57"/>
      <c r="T15" s="57"/>
      <c r="U15" s="67"/>
      <c r="V15" s="67"/>
      <c r="W15" s="67"/>
    </row>
    <row r="16" spans="1:23" x14ac:dyDescent="0.25">
      <c r="A16" s="72" t="s">
        <v>109</v>
      </c>
      <c r="B16" s="70"/>
      <c r="C16" s="75">
        <f>'2020EpEmissions'!V25</f>
        <v>1.0026244351266906</v>
      </c>
      <c r="D16" s="75">
        <f>'2020EpEmissions'!V25</f>
        <v>1.0026244351266906</v>
      </c>
      <c r="E16" s="75">
        <f>'2020EpEmissions'!V25</f>
        <v>1.0026244351266906</v>
      </c>
      <c r="F16" s="84"/>
      <c r="G16" s="85"/>
      <c r="H16" s="57"/>
      <c r="I16" s="57"/>
      <c r="J16" s="57"/>
      <c r="K16" s="67"/>
      <c r="L16" s="67"/>
      <c r="M16" s="67"/>
      <c r="N16" s="57"/>
      <c r="O16" s="57"/>
      <c r="P16" s="57"/>
      <c r="Q16" s="57"/>
      <c r="R16" s="57"/>
      <c r="S16" s="57"/>
      <c r="T16" s="57"/>
      <c r="U16" s="67"/>
      <c r="V16" s="67"/>
      <c r="W16" s="67"/>
    </row>
    <row r="17" spans="1:23" x14ac:dyDescent="0.25">
      <c r="A17" s="72" t="s">
        <v>110</v>
      </c>
      <c r="B17" s="70"/>
      <c r="C17" s="76">
        <f>'2020EpEmissions'!U25</f>
        <v>138.86348426504668</v>
      </c>
      <c r="D17" s="76">
        <f>'2020EpEmissions'!U25</f>
        <v>138.86348426504668</v>
      </c>
      <c r="E17" s="76">
        <f>'2020EpEmissions'!U25</f>
        <v>138.86348426504668</v>
      </c>
      <c r="F17" s="86"/>
      <c r="H17" s="57"/>
      <c r="I17" s="57"/>
      <c r="J17" s="57"/>
      <c r="K17" s="67"/>
      <c r="L17" s="67"/>
      <c r="M17" s="67"/>
      <c r="N17" s="57"/>
      <c r="O17" s="57"/>
      <c r="P17" s="57"/>
      <c r="Q17" s="57"/>
      <c r="R17" s="57"/>
      <c r="S17" s="57"/>
      <c r="T17" s="57"/>
      <c r="U17" s="67"/>
      <c r="V17" s="67"/>
      <c r="W17" s="67"/>
    </row>
    <row r="18" spans="1:23" x14ac:dyDescent="0.25">
      <c r="A18" s="81" t="s">
        <v>122</v>
      </c>
      <c r="B18" s="82"/>
      <c r="C18" s="83">
        <f>(C15*2000)/C16</f>
        <v>5.2041826490027248</v>
      </c>
      <c r="D18" s="83">
        <f>(D15*2000)/D16</f>
        <v>5.2041826490027248</v>
      </c>
      <c r="E18" s="83">
        <f>(E15*2000)/E16</f>
        <v>36.965231681498459</v>
      </c>
      <c r="F18" s="129" t="s">
        <v>216</v>
      </c>
      <c r="G18" s="80"/>
      <c r="H18" s="57"/>
      <c r="I18" s="57"/>
      <c r="J18" s="57"/>
      <c r="K18" s="67"/>
      <c r="L18" s="67"/>
      <c r="M18" s="67"/>
      <c r="N18" s="57"/>
      <c r="O18" s="57"/>
      <c r="P18" s="57"/>
      <c r="Q18" s="57"/>
      <c r="R18" s="57"/>
      <c r="S18" s="57"/>
      <c r="T18" s="57"/>
      <c r="U18" s="67"/>
      <c r="V18" s="67"/>
      <c r="W18" s="67"/>
    </row>
    <row r="19" spans="1:23" x14ac:dyDescent="0.25">
      <c r="D19" s="85"/>
      <c r="E19" s="71"/>
      <c r="F19" s="57"/>
      <c r="G19" s="57"/>
      <c r="H19" s="57"/>
      <c r="I19" s="57"/>
      <c r="J19" s="57"/>
      <c r="K19" s="67"/>
      <c r="L19" s="67"/>
      <c r="M19" s="67"/>
      <c r="N19" s="57"/>
      <c r="O19" s="57"/>
      <c r="P19" s="57"/>
      <c r="Q19" s="57"/>
      <c r="R19" s="57"/>
      <c r="S19" s="57"/>
      <c r="T19" s="57"/>
      <c r="U19" s="67"/>
      <c r="V19" s="67"/>
      <c r="W19" s="67"/>
    </row>
    <row r="20" spans="1:23" x14ac:dyDescent="0.25">
      <c r="A20" s="1" t="s">
        <v>119</v>
      </c>
      <c r="B20" s="57"/>
      <c r="C20" s="67" t="s">
        <v>229</v>
      </c>
      <c r="D20" s="67" t="s">
        <v>75</v>
      </c>
      <c r="E20" s="57"/>
      <c r="F20" s="57"/>
      <c r="G20" s="57"/>
      <c r="H20" s="57"/>
      <c r="I20" s="57"/>
      <c r="J20" s="57"/>
      <c r="K20" s="67"/>
      <c r="L20" s="67"/>
      <c r="M20" s="67"/>
      <c r="N20" s="57"/>
      <c r="O20" s="57"/>
      <c r="P20" s="57"/>
      <c r="Q20" s="57"/>
      <c r="R20" s="57"/>
      <c r="S20" s="57"/>
      <c r="T20" s="57"/>
      <c r="U20" s="67"/>
      <c r="V20" s="67"/>
      <c r="W20" s="67"/>
    </row>
    <row r="21" spans="1:23" x14ac:dyDescent="0.25">
      <c r="A21" s="72" t="s">
        <v>120</v>
      </c>
      <c r="B21" s="70"/>
      <c r="C21" s="99">
        <f>WasteOilUse!H31</f>
        <v>135150</v>
      </c>
      <c r="D21" s="99">
        <f>WasteOilUse!H31</f>
        <v>135150</v>
      </c>
      <c r="E21" s="77" t="s">
        <v>117</v>
      </c>
      <c r="F21" s="98" t="s">
        <v>217</v>
      </c>
      <c r="G21" s="57"/>
      <c r="H21" s="57"/>
      <c r="I21" s="57"/>
      <c r="J21" s="57"/>
      <c r="K21" s="67"/>
      <c r="L21" s="67"/>
      <c r="M21" s="67"/>
      <c r="N21" s="57"/>
      <c r="O21" s="57"/>
      <c r="P21" s="57"/>
      <c r="Q21" s="57"/>
      <c r="R21" s="57"/>
      <c r="S21" s="57"/>
      <c r="T21" s="57"/>
      <c r="U21" s="67"/>
      <c r="V21" s="67"/>
      <c r="W21" s="67"/>
    </row>
    <row r="22" spans="1:23" x14ac:dyDescent="0.25">
      <c r="A22" s="72" t="s">
        <v>111</v>
      </c>
      <c r="B22" s="78"/>
      <c r="C22" s="78">
        <v>0.95</v>
      </c>
      <c r="D22" s="78">
        <v>0.95</v>
      </c>
      <c r="E22" s="77" t="s">
        <v>113</v>
      </c>
      <c r="F22" s="80" t="s">
        <v>218</v>
      </c>
    </row>
    <row r="23" spans="1:23" x14ac:dyDescent="0.25">
      <c r="A23" s="72" t="s">
        <v>121</v>
      </c>
      <c r="B23" s="78"/>
      <c r="C23" s="78">
        <v>3.58</v>
      </c>
      <c r="D23" s="78">
        <v>3.58</v>
      </c>
      <c r="E23" s="77" t="s">
        <v>113</v>
      </c>
      <c r="F23" s="80" t="s">
        <v>218</v>
      </c>
    </row>
    <row r="24" spans="1:23" x14ac:dyDescent="0.25">
      <c r="A24" s="72" t="s">
        <v>112</v>
      </c>
      <c r="B24" s="78"/>
      <c r="C24" s="90">
        <f>C21*C22</f>
        <v>128392.5</v>
      </c>
      <c r="D24" s="90">
        <f>D21*D22</f>
        <v>128392.5</v>
      </c>
      <c r="E24" s="77" t="s">
        <v>118</v>
      </c>
      <c r="F24" s="80" t="s">
        <v>220</v>
      </c>
    </row>
    <row r="25" spans="1:23" ht="14.1" customHeight="1" x14ac:dyDescent="0.25">
      <c r="A25" s="72" t="s">
        <v>114</v>
      </c>
      <c r="B25" s="78"/>
      <c r="C25" s="79">
        <f>C18</f>
        <v>5.2041826490027248</v>
      </c>
      <c r="D25" s="79">
        <f>E18</f>
        <v>36.965231681498459</v>
      </c>
      <c r="E25" s="77" t="s">
        <v>123</v>
      </c>
      <c r="F25" s="80"/>
    </row>
    <row r="26" spans="1:23" x14ac:dyDescent="0.25">
      <c r="A26" s="72" t="s">
        <v>115</v>
      </c>
      <c r="B26" s="78"/>
      <c r="C26" s="79">
        <f>(C21*C25)/1000</f>
        <v>703.34528501271825</v>
      </c>
      <c r="D26" s="79">
        <f>(D21*D25)/1000</f>
        <v>4995.8510617545162</v>
      </c>
      <c r="E26" s="77" t="s">
        <v>124</v>
      </c>
      <c r="F26" s="80"/>
    </row>
    <row r="27" spans="1:23" x14ac:dyDescent="0.25">
      <c r="A27" s="72" t="s">
        <v>116</v>
      </c>
      <c r="B27" s="78"/>
      <c r="C27" s="79">
        <f>C26*0.5</f>
        <v>351.67264250635913</v>
      </c>
      <c r="D27" s="79">
        <f>D26*0.5</f>
        <v>2497.9255308772581</v>
      </c>
      <c r="E27" s="77" t="s">
        <v>124</v>
      </c>
      <c r="F27" s="80" t="s">
        <v>221</v>
      </c>
    </row>
    <row r="28" spans="1:23" x14ac:dyDescent="0.25">
      <c r="A28" s="78" t="s">
        <v>126</v>
      </c>
      <c r="B28" s="78"/>
      <c r="C28" s="78"/>
      <c r="D28" s="78"/>
    </row>
    <row r="29" spans="1:23" x14ac:dyDescent="0.25">
      <c r="A29" s="127" t="s">
        <v>125</v>
      </c>
      <c r="C29" s="91">
        <f>C24/C27</f>
        <v>365.09095244074422</v>
      </c>
      <c r="D29" s="91">
        <f>D24/D27</f>
        <v>51.39965079539791</v>
      </c>
    </row>
    <row r="30" spans="1:23" x14ac:dyDescent="0.25">
      <c r="A30" s="71"/>
      <c r="C30" s="91"/>
    </row>
    <row r="31" spans="1:23" x14ac:dyDescent="0.25">
      <c r="A31" s="89" t="s">
        <v>223</v>
      </c>
      <c r="C31" s="130">
        <f>C24/(C27*0.0005)</f>
        <v>730181.9048814883</v>
      </c>
      <c r="D31" s="130">
        <f>D24/(D27*0.0005)</f>
        <v>102799.30159079582</v>
      </c>
    </row>
    <row r="32" spans="1:23" x14ac:dyDescent="0.25">
      <c r="C32" s="91"/>
    </row>
  </sheetData>
  <sheetProtection algorithmName="SHA-512" hashValue="u1SQto2r68NCwx6GXEPLb0gEE/SKsROZhanGcFh0mbu2WK6SjydRg3Sv7PUT42gS9HsTnHUpa4TfZWtPQ1PbmA==" saltValue="4HXCmqNgEy8BsgIP48LZmQ==" spinCount="100000" sheet="1" objects="1" scenarios="1"/>
  <mergeCells count="2">
    <mergeCell ref="A14:B14"/>
    <mergeCell ref="A2:L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E92B-22A6-49B5-8B90-A6AD13F8D045}">
  <sheetPr codeName="Sheet2"/>
  <dimension ref="A1:X78"/>
  <sheetViews>
    <sheetView topLeftCell="A59" workbookViewId="0">
      <selection activeCell="G72" sqref="G72"/>
    </sheetView>
  </sheetViews>
  <sheetFormatPr defaultRowHeight="15" x14ac:dyDescent="0.25"/>
  <cols>
    <col min="2" max="2" width="21.85546875" customWidth="1"/>
    <col min="3" max="3" width="25.28515625" customWidth="1"/>
    <col min="4" max="4" width="19.85546875" bestFit="1" customWidth="1"/>
    <col min="5" max="5" width="15.5703125" customWidth="1"/>
    <col min="6" max="6" width="15.140625" customWidth="1"/>
    <col min="7" max="7" width="14.140625" customWidth="1"/>
    <col min="8" max="8" width="13" customWidth="1"/>
    <col min="9" max="9" width="12.28515625" customWidth="1"/>
    <col min="10" max="10" width="15.140625" bestFit="1" customWidth="1"/>
  </cols>
  <sheetData>
    <row r="1" spans="1:24" ht="20.25" thickTop="1" thickBot="1" x14ac:dyDescent="0.35">
      <c r="A1" s="119" t="s">
        <v>208</v>
      </c>
      <c r="M1" s="139" t="s">
        <v>148</v>
      </c>
      <c r="N1" s="140"/>
      <c r="O1" s="140"/>
      <c r="P1" s="140"/>
      <c r="Q1" s="140"/>
      <c r="R1" s="140"/>
      <c r="S1" s="140"/>
      <c r="T1" s="140"/>
      <c r="U1" s="140"/>
      <c r="V1" s="140"/>
      <c r="W1" s="140"/>
      <c r="X1" s="140"/>
    </row>
    <row r="2" spans="1:24" ht="15.75" thickTop="1" x14ac:dyDescent="0.25">
      <c r="A2" s="133" t="s">
        <v>222</v>
      </c>
      <c r="B2" s="134"/>
      <c r="C2" s="134"/>
      <c r="D2" s="134"/>
      <c r="E2" s="134"/>
      <c r="F2" s="134"/>
      <c r="G2" s="134"/>
      <c r="H2" s="134"/>
      <c r="I2" s="134"/>
      <c r="J2" s="134"/>
      <c r="K2" s="134"/>
      <c r="L2" s="134"/>
    </row>
    <row r="3" spans="1:24" x14ac:dyDescent="0.25">
      <c r="A3" s="123"/>
      <c r="B3" s="123"/>
      <c r="C3" s="123"/>
      <c r="D3" s="123"/>
      <c r="E3" s="123"/>
      <c r="F3" s="123"/>
      <c r="G3" s="123"/>
      <c r="H3" s="123"/>
      <c r="I3" s="123"/>
      <c r="J3" s="123"/>
      <c r="K3" s="123"/>
      <c r="L3" s="123"/>
    </row>
    <row r="4" spans="1:24" x14ac:dyDescent="0.25">
      <c r="A4" s="120" t="s">
        <v>209</v>
      </c>
    </row>
    <row r="5" spans="1:24" x14ac:dyDescent="0.25">
      <c r="A5" s="122" t="s">
        <v>213</v>
      </c>
    </row>
    <row r="6" spans="1:24" x14ac:dyDescent="0.25">
      <c r="A6" s="121" t="s">
        <v>214</v>
      </c>
    </row>
    <row r="7" spans="1:24" x14ac:dyDescent="0.25">
      <c r="A7" s="122" t="s">
        <v>226</v>
      </c>
    </row>
    <row r="8" spans="1:24" x14ac:dyDescent="0.25">
      <c r="A8" s="122" t="s">
        <v>178</v>
      </c>
    </row>
    <row r="9" spans="1:24" x14ac:dyDescent="0.25">
      <c r="A9" s="122" t="s">
        <v>224</v>
      </c>
    </row>
    <row r="10" spans="1:24" x14ac:dyDescent="0.25">
      <c r="A10" s="103"/>
    </row>
    <row r="11" spans="1:24" x14ac:dyDescent="0.25">
      <c r="A11" s="1" t="s">
        <v>215</v>
      </c>
    </row>
    <row r="12" spans="1:24" x14ac:dyDescent="0.25">
      <c r="A12" s="131"/>
      <c r="B12" s="132"/>
      <c r="C12" s="111" t="s">
        <v>107</v>
      </c>
      <c r="D12" s="111" t="s">
        <v>108</v>
      </c>
      <c r="E12" s="73" t="s">
        <v>75</v>
      </c>
    </row>
    <row r="13" spans="1:24" x14ac:dyDescent="0.25">
      <c r="A13" s="72" t="s">
        <v>67</v>
      </c>
      <c r="B13" s="70"/>
      <c r="C13" s="74">
        <f>'2020EpEmissions'!Q25</f>
        <v>2.6089203443762409E-3</v>
      </c>
      <c r="D13" s="74">
        <f>'2020EpEmissions'!R25</f>
        <v>2.6089203443762409E-3</v>
      </c>
      <c r="E13" s="75">
        <f>'2020EpEmissions'!P25</f>
        <v>1.8531122266994819E-2</v>
      </c>
      <c r="F13" s="57"/>
      <c r="G13" s="57"/>
    </row>
    <row r="14" spans="1:24" x14ac:dyDescent="0.25">
      <c r="A14" s="72" t="s">
        <v>109</v>
      </c>
      <c r="B14" s="70"/>
      <c r="C14" s="75">
        <f>'2020EpEmissions'!V25</f>
        <v>1.0026244351266906</v>
      </c>
      <c r="D14" s="75">
        <f>'2020EpEmissions'!V25</f>
        <v>1.0026244351266906</v>
      </c>
      <c r="E14" s="75">
        <f>'2020EpEmissions'!V25</f>
        <v>1.0026244351266906</v>
      </c>
      <c r="F14" s="84"/>
      <c r="G14" s="85"/>
    </row>
    <row r="15" spans="1:24" x14ac:dyDescent="0.25">
      <c r="A15" s="72" t="s">
        <v>110</v>
      </c>
      <c r="B15" s="70"/>
      <c r="C15" s="76">
        <f>'2020EpEmissions'!U25</f>
        <v>138.86348426504668</v>
      </c>
      <c r="D15" s="76">
        <f>'2020EpEmissions'!U25</f>
        <v>138.86348426504668</v>
      </c>
      <c r="E15" s="76">
        <f>'2020EpEmissions'!U25</f>
        <v>138.86348426504668</v>
      </c>
      <c r="F15" s="86"/>
    </row>
    <row r="16" spans="1:24" x14ac:dyDescent="0.25">
      <c r="A16" s="81" t="s">
        <v>122</v>
      </c>
      <c r="B16" s="82"/>
      <c r="C16" s="83">
        <f>(C13*2000)/C14</f>
        <v>5.2041826490027248</v>
      </c>
      <c r="D16" s="83">
        <f>(D13*2000)/D14</f>
        <v>5.2041826490027248</v>
      </c>
      <c r="E16" s="83">
        <f>(E13*2000)/E14</f>
        <v>36.965231681498459</v>
      </c>
      <c r="F16" s="87"/>
      <c r="G16" s="80"/>
    </row>
    <row r="18" spans="1:5" x14ac:dyDescent="0.25">
      <c r="A18" s="1" t="s">
        <v>128</v>
      </c>
    </row>
    <row r="19" spans="1:5" x14ac:dyDescent="0.25">
      <c r="A19" s="112" t="s">
        <v>175</v>
      </c>
      <c r="B19" s="112"/>
      <c r="C19" s="111" t="s">
        <v>176</v>
      </c>
      <c r="D19" s="111" t="s">
        <v>81</v>
      </c>
      <c r="E19" s="111" t="s">
        <v>177</v>
      </c>
    </row>
    <row r="20" spans="1:5" x14ac:dyDescent="0.25">
      <c r="A20" s="78" t="s">
        <v>170</v>
      </c>
      <c r="B20" s="78"/>
      <c r="C20" s="105">
        <f>(4700000*5000)/18000</f>
        <v>1305555.5555555555</v>
      </c>
      <c r="D20" s="77" t="s">
        <v>153</v>
      </c>
      <c r="E20" s="124" t="s">
        <v>225</v>
      </c>
    </row>
    <row r="21" spans="1:5" x14ac:dyDescent="0.25">
      <c r="A21" s="135" t="s">
        <v>129</v>
      </c>
      <c r="B21" s="132"/>
      <c r="C21" s="106">
        <f>12280*2</f>
        <v>24560</v>
      </c>
      <c r="D21" s="77" t="s">
        <v>195</v>
      </c>
      <c r="E21" s="124" t="s">
        <v>171</v>
      </c>
    </row>
    <row r="22" spans="1:5" x14ac:dyDescent="0.25">
      <c r="A22" s="110" t="s">
        <v>180</v>
      </c>
      <c r="B22" s="93"/>
      <c r="C22" s="105">
        <v>12500</v>
      </c>
      <c r="D22" s="77" t="s">
        <v>181</v>
      </c>
      <c r="E22" s="124" t="s">
        <v>182</v>
      </c>
    </row>
    <row r="23" spans="1:5" x14ac:dyDescent="0.25">
      <c r="A23" s="78" t="s">
        <v>155</v>
      </c>
      <c r="B23" s="78"/>
      <c r="C23" s="105">
        <v>5000</v>
      </c>
      <c r="D23" s="77" t="s">
        <v>153</v>
      </c>
      <c r="E23" s="124" t="s">
        <v>130</v>
      </c>
    </row>
    <row r="24" spans="1:5" x14ac:dyDescent="0.25">
      <c r="A24" s="78" t="s">
        <v>163</v>
      </c>
      <c r="B24" s="78"/>
      <c r="C24" s="105">
        <v>0</v>
      </c>
      <c r="D24" s="77" t="s">
        <v>153</v>
      </c>
      <c r="E24" s="124" t="s">
        <v>164</v>
      </c>
    </row>
    <row r="25" spans="1:5" x14ac:dyDescent="0.25">
      <c r="A25" s="78" t="s">
        <v>156</v>
      </c>
      <c r="B25" s="78"/>
      <c r="C25" s="105">
        <v>15500</v>
      </c>
      <c r="D25" s="77" t="s">
        <v>154</v>
      </c>
      <c r="E25" s="124" t="s">
        <v>179</v>
      </c>
    </row>
    <row r="26" spans="1:5" x14ac:dyDescent="0.25">
      <c r="A26" s="135" t="s">
        <v>183</v>
      </c>
      <c r="B26" s="132"/>
      <c r="C26" s="105">
        <v>879</v>
      </c>
      <c r="D26" s="77" t="s">
        <v>186</v>
      </c>
      <c r="E26" s="124" t="s">
        <v>187</v>
      </c>
    </row>
    <row r="27" spans="1:5" x14ac:dyDescent="0.25">
      <c r="A27" s="135"/>
      <c r="B27" s="132"/>
      <c r="C27" s="105">
        <f>C26*4</f>
        <v>3516</v>
      </c>
      <c r="D27" s="77" t="s">
        <v>153</v>
      </c>
      <c r="E27" s="124" t="s">
        <v>188</v>
      </c>
    </row>
    <row r="28" spans="1:5" x14ac:dyDescent="0.25">
      <c r="A28" s="78" t="s">
        <v>133</v>
      </c>
      <c r="B28" s="78"/>
      <c r="C28" s="105">
        <f>C29/2080</f>
        <v>50.92740865384615</v>
      </c>
      <c r="D28" s="113" t="s">
        <v>134</v>
      </c>
      <c r="E28" s="124" t="s">
        <v>165</v>
      </c>
    </row>
    <row r="29" spans="1:5" x14ac:dyDescent="0.25">
      <c r="A29" s="138"/>
      <c r="B29" s="132"/>
      <c r="C29" s="128">
        <v>105929.01</v>
      </c>
      <c r="D29" s="113" t="s">
        <v>151</v>
      </c>
      <c r="E29" s="124" t="s">
        <v>227</v>
      </c>
    </row>
    <row r="30" spans="1:5" x14ac:dyDescent="0.25">
      <c r="A30" s="78" t="s">
        <v>200</v>
      </c>
      <c r="B30" s="78"/>
      <c r="C30" s="107">
        <v>100</v>
      </c>
      <c r="D30" s="77" t="s">
        <v>118</v>
      </c>
      <c r="E30" s="124" t="s">
        <v>166</v>
      </c>
    </row>
    <row r="31" spans="1:5" x14ac:dyDescent="0.25">
      <c r="A31" s="78" t="s">
        <v>201</v>
      </c>
      <c r="C31" s="94">
        <v>1000</v>
      </c>
      <c r="D31" s="115" t="s">
        <v>118</v>
      </c>
      <c r="E31" s="124" t="s">
        <v>202</v>
      </c>
    </row>
    <row r="32" spans="1:5" x14ac:dyDescent="0.25">
      <c r="A32" s="78" t="s">
        <v>174</v>
      </c>
      <c r="B32" s="78"/>
      <c r="C32" s="77">
        <v>30</v>
      </c>
      <c r="D32" s="77" t="s">
        <v>152</v>
      </c>
      <c r="E32" s="124" t="s">
        <v>131</v>
      </c>
    </row>
    <row r="33" spans="1:7" x14ac:dyDescent="0.25">
      <c r="A33" s="78" t="s">
        <v>192</v>
      </c>
      <c r="B33" s="78"/>
      <c r="C33" s="77">
        <v>15</v>
      </c>
      <c r="D33" s="77" t="s">
        <v>152</v>
      </c>
      <c r="E33" s="124" t="s">
        <v>193</v>
      </c>
    </row>
    <row r="34" spans="1:7" x14ac:dyDescent="0.25">
      <c r="A34" s="78" t="s">
        <v>173</v>
      </c>
      <c r="B34" s="78"/>
      <c r="C34" s="77">
        <v>10</v>
      </c>
      <c r="D34" s="77" t="s">
        <v>152</v>
      </c>
      <c r="E34" s="124" t="s">
        <v>132</v>
      </c>
    </row>
    <row r="35" spans="1:7" x14ac:dyDescent="0.25">
      <c r="A35" s="78" t="s">
        <v>189</v>
      </c>
      <c r="B35" s="78"/>
      <c r="C35">
        <v>7</v>
      </c>
      <c r="D35" s="115" t="s">
        <v>190</v>
      </c>
      <c r="E35" s="124" t="s">
        <v>191</v>
      </c>
    </row>
    <row r="36" spans="1:7" x14ac:dyDescent="0.25">
      <c r="A36" s="78" t="s">
        <v>184</v>
      </c>
      <c r="B36" s="78"/>
      <c r="C36" s="77">
        <v>13</v>
      </c>
      <c r="D36" s="77" t="s">
        <v>152</v>
      </c>
      <c r="E36" s="124" t="s">
        <v>185</v>
      </c>
    </row>
    <row r="37" spans="1:7" x14ac:dyDescent="0.25">
      <c r="A37" s="78" t="s">
        <v>144</v>
      </c>
      <c r="B37" s="78"/>
      <c r="C37" s="78">
        <v>0.2</v>
      </c>
      <c r="D37" s="77" t="s">
        <v>145</v>
      </c>
      <c r="E37" s="124" t="s">
        <v>168</v>
      </c>
    </row>
    <row r="38" spans="1:7" ht="17.25" x14ac:dyDescent="0.25">
      <c r="A38" s="78" t="s">
        <v>135</v>
      </c>
      <c r="B38" s="78"/>
      <c r="C38" s="77">
        <v>1</v>
      </c>
      <c r="D38" s="77" t="s">
        <v>136</v>
      </c>
      <c r="E38" s="124" t="s">
        <v>167</v>
      </c>
    </row>
    <row r="39" spans="1:7" x14ac:dyDescent="0.25">
      <c r="A39" s="135"/>
      <c r="B39" s="132"/>
      <c r="C39" s="108">
        <f>C38/264.172</f>
        <v>3.7854125342579831E-3</v>
      </c>
      <c r="D39" s="77" t="s">
        <v>137</v>
      </c>
      <c r="E39" s="125"/>
    </row>
    <row r="40" spans="1:7" x14ac:dyDescent="0.25">
      <c r="A40" s="78" t="s">
        <v>194</v>
      </c>
      <c r="B40" s="93"/>
      <c r="C40" s="106">
        <v>15000</v>
      </c>
      <c r="D40" s="77" t="s">
        <v>195</v>
      </c>
      <c r="E40" s="124" t="s">
        <v>196</v>
      </c>
    </row>
    <row r="41" spans="1:7" x14ac:dyDescent="0.25">
      <c r="A41" s="78" t="s">
        <v>205</v>
      </c>
      <c r="B41" s="78"/>
      <c r="C41" s="109">
        <v>7.4999999999999997E-2</v>
      </c>
      <c r="D41" s="77" t="s">
        <v>60</v>
      </c>
      <c r="E41" s="124" t="s">
        <v>206</v>
      </c>
    </row>
    <row r="43" spans="1:7" x14ac:dyDescent="0.25">
      <c r="A43" s="1" t="s">
        <v>138</v>
      </c>
    </row>
    <row r="44" spans="1:7" x14ac:dyDescent="0.25">
      <c r="A44" s="116" t="s">
        <v>198</v>
      </c>
    </row>
    <row r="45" spans="1:7" ht="29.1" customHeight="1" x14ac:dyDescent="0.25">
      <c r="B45" s="97" t="s">
        <v>139</v>
      </c>
      <c r="C45" s="97" t="s">
        <v>141</v>
      </c>
      <c r="D45" s="97" t="s">
        <v>142</v>
      </c>
      <c r="E45" s="97" t="s">
        <v>143</v>
      </c>
      <c r="F45" s="97" t="s">
        <v>146</v>
      </c>
      <c r="G45" s="97" t="s">
        <v>147</v>
      </c>
    </row>
    <row r="46" spans="1:7" x14ac:dyDescent="0.25">
      <c r="B46" t="s">
        <v>140</v>
      </c>
      <c r="C46" s="96">
        <v>1</v>
      </c>
      <c r="D46">
        <v>1</v>
      </c>
      <c r="E46" s="3">
        <v>135150</v>
      </c>
      <c r="F46" s="3">
        <f>(C39*E46)</f>
        <v>511.5985040049664</v>
      </c>
      <c r="G46" s="95">
        <f>F46*C37</f>
        <v>102.31970080099329</v>
      </c>
    </row>
    <row r="47" spans="1:7" x14ac:dyDescent="0.25">
      <c r="B47" t="s">
        <v>197</v>
      </c>
      <c r="C47" s="96">
        <v>1</v>
      </c>
      <c r="D47">
        <v>1</v>
      </c>
      <c r="F47" s="3">
        <f>C40</f>
        <v>15000</v>
      </c>
      <c r="G47" s="95">
        <f>F47*C37</f>
        <v>3000</v>
      </c>
    </row>
    <row r="48" spans="1:7" x14ac:dyDescent="0.25">
      <c r="B48" t="s">
        <v>172</v>
      </c>
      <c r="C48" s="96"/>
      <c r="F48" s="3">
        <f>C21</f>
        <v>24560</v>
      </c>
      <c r="G48" s="95">
        <f>F48*C37</f>
        <v>4912</v>
      </c>
    </row>
    <row r="49" spans="1:10" x14ac:dyDescent="0.25">
      <c r="C49" s="96"/>
      <c r="F49" s="3"/>
      <c r="G49" s="114">
        <f>SUM(G46:G48)</f>
        <v>8014.3197008009938</v>
      </c>
    </row>
    <row r="50" spans="1:10" x14ac:dyDescent="0.25">
      <c r="C50" s="96"/>
      <c r="F50" s="3"/>
      <c r="G50" s="117"/>
    </row>
    <row r="51" spans="1:10" x14ac:dyDescent="0.25">
      <c r="A51" s="116" t="s">
        <v>199</v>
      </c>
      <c r="C51" s="96"/>
      <c r="F51" s="3"/>
    </row>
    <row r="52" spans="1:10" ht="60" x14ac:dyDescent="0.25">
      <c r="B52" s="97" t="s">
        <v>139</v>
      </c>
      <c r="C52" s="97" t="s">
        <v>142</v>
      </c>
      <c r="D52" s="97" t="s">
        <v>150</v>
      </c>
      <c r="E52" s="97" t="s">
        <v>162</v>
      </c>
      <c r="F52" s="97" t="s">
        <v>158</v>
      </c>
      <c r="G52" s="97" t="s">
        <v>169</v>
      </c>
      <c r="H52" s="97" t="s">
        <v>157</v>
      </c>
      <c r="I52" s="97" t="s">
        <v>159</v>
      </c>
    </row>
    <row r="53" spans="1:10" x14ac:dyDescent="0.25">
      <c r="B53" t="s">
        <v>140</v>
      </c>
      <c r="C53">
        <v>1</v>
      </c>
      <c r="D53" s="94">
        <v>100</v>
      </c>
      <c r="E53" s="95">
        <f>C23</f>
        <v>5000</v>
      </c>
      <c r="F53" s="118">
        <f>($C$41*(1+$C$41)^C34)/((1+$C$41)^C34-1)</f>
        <v>0.14568592742612235</v>
      </c>
      <c r="G53" s="102">
        <f>F53*E53</f>
        <v>728.42963713061181</v>
      </c>
      <c r="H53" s="95">
        <f>C29</f>
        <v>105929.01</v>
      </c>
      <c r="I53" s="95">
        <f>(G53+H53)</f>
        <v>106657.43963713061</v>
      </c>
      <c r="J53" s="95"/>
    </row>
    <row r="54" spans="1:10" x14ac:dyDescent="0.25">
      <c r="B54" t="s">
        <v>197</v>
      </c>
      <c r="C54">
        <v>1</v>
      </c>
      <c r="D54" s="94">
        <f>C31</f>
        <v>1000</v>
      </c>
      <c r="E54" s="94">
        <f>C25</f>
        <v>15500</v>
      </c>
      <c r="F54" s="118">
        <f>($C$41*(1+$C$41)^C35)/((1+$C$41)^C35-1)</f>
        <v>0.18880031539601275</v>
      </c>
      <c r="G54" s="102">
        <f>F54*E54</f>
        <v>2926.4048886381975</v>
      </c>
      <c r="I54" s="102">
        <f>G54</f>
        <v>2926.4048886381975</v>
      </c>
    </row>
    <row r="55" spans="1:10" x14ac:dyDescent="0.25">
      <c r="B55" t="s">
        <v>183</v>
      </c>
      <c r="C55">
        <v>4</v>
      </c>
      <c r="E55" s="94">
        <f>C27</f>
        <v>3516</v>
      </c>
      <c r="F55" s="118">
        <f>($C$41*(1+$C$41)^C36)/((1+$C$41)^C36-1)</f>
        <v>0.12306419626457941</v>
      </c>
      <c r="G55" s="102">
        <f>F55*E55</f>
        <v>432.69371406626124</v>
      </c>
      <c r="I55" s="102">
        <f>G55</f>
        <v>432.69371406626124</v>
      </c>
    </row>
    <row r="56" spans="1:10" x14ac:dyDescent="0.25">
      <c r="I56" s="114">
        <f>SUM(I53:I55)</f>
        <v>110016.53823983506</v>
      </c>
    </row>
    <row r="58" spans="1:10" x14ac:dyDescent="0.25">
      <c r="A58" s="88" t="s">
        <v>203</v>
      </c>
    </row>
    <row r="59" spans="1:10" ht="60" x14ac:dyDescent="0.25">
      <c r="B59" s="97"/>
      <c r="C59" s="97" t="s">
        <v>162</v>
      </c>
      <c r="D59" s="97" t="s">
        <v>158</v>
      </c>
      <c r="E59" s="97" t="s">
        <v>169</v>
      </c>
      <c r="F59" s="101" t="s">
        <v>159</v>
      </c>
    </row>
    <row r="60" spans="1:10" x14ac:dyDescent="0.25">
      <c r="B60" t="s">
        <v>172</v>
      </c>
      <c r="C60" s="94">
        <f>C20</f>
        <v>1305555.5555555555</v>
      </c>
      <c r="D60" s="61">
        <f>($C$41*(1+$C$41)^C32)/((1+$C$41)^C32-1)</f>
        <v>8.467123576763981E-2</v>
      </c>
      <c r="E60" s="102">
        <f>C60*D60</f>
        <v>110543.00225219641</v>
      </c>
      <c r="F60" s="95">
        <f>E60</f>
        <v>110543.00225219641</v>
      </c>
      <c r="I60" s="102"/>
    </row>
    <row r="61" spans="1:10" x14ac:dyDescent="0.25">
      <c r="B61" t="s">
        <v>180</v>
      </c>
      <c r="C61" s="94">
        <f>C22</f>
        <v>12500</v>
      </c>
      <c r="D61" s="61">
        <f>($C$41*(1+$C$41)^C33)/((1+$C$41)^C33-1)</f>
        <v>0.11328723625419036</v>
      </c>
      <c r="E61" s="102">
        <f>C61*D61</f>
        <v>1416.0904531773795</v>
      </c>
      <c r="F61" s="95">
        <f>E61</f>
        <v>1416.0904531773795</v>
      </c>
      <c r="I61" s="102"/>
    </row>
    <row r="62" spans="1:10" x14ac:dyDescent="0.25">
      <c r="C62" s="94"/>
      <c r="D62" s="61"/>
      <c r="E62" s="102"/>
      <c r="F62" s="114">
        <f>SUM(F60:F61)</f>
        <v>111959.0927053738</v>
      </c>
      <c r="I62" s="102"/>
    </row>
    <row r="64" spans="1:10" x14ac:dyDescent="0.25">
      <c r="A64" s="1" t="s">
        <v>119</v>
      </c>
      <c r="D64" s="67" t="s">
        <v>229</v>
      </c>
      <c r="E64" s="67" t="s">
        <v>75</v>
      </c>
    </row>
    <row r="65" spans="1:7" x14ac:dyDescent="0.25">
      <c r="A65" s="136" t="s">
        <v>120</v>
      </c>
      <c r="B65" s="137"/>
      <c r="C65" s="132"/>
      <c r="D65" s="99">
        <v>135150</v>
      </c>
      <c r="E65" s="99">
        <v>135150</v>
      </c>
      <c r="F65" s="77" t="s">
        <v>117</v>
      </c>
      <c r="G65" s="57"/>
    </row>
    <row r="66" spans="1:7" x14ac:dyDescent="0.25">
      <c r="A66" s="136" t="s">
        <v>114</v>
      </c>
      <c r="B66" s="137"/>
      <c r="C66" s="132"/>
      <c r="D66" s="100">
        <f>C16</f>
        <v>5.2041826490027248</v>
      </c>
      <c r="E66" s="100">
        <f>E16</f>
        <v>36.965231681498459</v>
      </c>
      <c r="F66" s="77" t="s">
        <v>123</v>
      </c>
      <c r="G66" s="80"/>
    </row>
    <row r="67" spans="1:7" x14ac:dyDescent="0.25">
      <c r="A67" s="136" t="s">
        <v>115</v>
      </c>
      <c r="B67" s="137"/>
      <c r="C67" s="132"/>
      <c r="D67" s="100">
        <f>(D65*D66)/1000</f>
        <v>703.34528501271825</v>
      </c>
      <c r="E67" s="100">
        <f>(E65*E66)/1000</f>
        <v>4995.8510617545162</v>
      </c>
      <c r="F67" s="77" t="s">
        <v>124</v>
      </c>
      <c r="G67" s="80"/>
    </row>
    <row r="68" spans="1:7" x14ac:dyDescent="0.25">
      <c r="A68" s="136" t="s">
        <v>116</v>
      </c>
      <c r="B68" s="137"/>
      <c r="C68" s="132"/>
      <c r="D68" s="100">
        <f>D67*1*0.0005</f>
        <v>0.35167264250635916</v>
      </c>
      <c r="E68" s="100">
        <f>E67*1*0.0005</f>
        <v>2.4979255308772581</v>
      </c>
      <c r="F68" s="77" t="s">
        <v>149</v>
      </c>
      <c r="G68" s="80" t="s">
        <v>204</v>
      </c>
    </row>
    <row r="69" spans="1:7" x14ac:dyDescent="0.25">
      <c r="A69" s="78" t="s">
        <v>160</v>
      </c>
      <c r="B69" s="78"/>
      <c r="C69" s="78"/>
      <c r="D69" s="104">
        <f>G49+I56+F62</f>
        <v>229989.95064600985</v>
      </c>
      <c r="E69" s="104">
        <f>G49+I56+F62</f>
        <v>229989.95064600985</v>
      </c>
      <c r="F69" s="77" t="s">
        <v>118</v>
      </c>
    </row>
    <row r="70" spans="1:7" x14ac:dyDescent="0.25">
      <c r="A70" s="78" t="s">
        <v>161</v>
      </c>
      <c r="B70" s="78"/>
      <c r="C70" s="78"/>
      <c r="D70" s="78"/>
      <c r="E70" s="78"/>
      <c r="F70" s="78"/>
      <c r="G70" s="102"/>
    </row>
    <row r="71" spans="1:7" x14ac:dyDescent="0.25">
      <c r="A71" s="72" t="s">
        <v>127</v>
      </c>
      <c r="B71" s="78"/>
      <c r="C71" s="78"/>
      <c r="D71" s="104">
        <f>D69/D68</f>
        <v>653988.74648559291</v>
      </c>
      <c r="E71" s="104">
        <f>E69/E68</f>
        <v>92072.380782800436</v>
      </c>
      <c r="F71" s="77" t="s">
        <v>228</v>
      </c>
    </row>
    <row r="73" spans="1:7" x14ac:dyDescent="0.25">
      <c r="A73" s="89" t="s">
        <v>230</v>
      </c>
      <c r="C73" s="92"/>
      <c r="D73" s="126">
        <f>D71</f>
        <v>653988.74648559291</v>
      </c>
      <c r="E73" s="126">
        <f>E71</f>
        <v>92072.380782800436</v>
      </c>
    </row>
    <row r="78" spans="1:7" x14ac:dyDescent="0.25">
      <c r="D78" s="126"/>
    </row>
  </sheetData>
  <sheetProtection algorithmName="SHA-512" hashValue="wSpfDO+VXXfqSdH3IU4yrTMmzZsU9mvmPPzR9+lUzxVinSbZq5w5sS0G/ojUztyjkfqoUsLgSPxVEaJtGQKt7g==" saltValue="BS7npudbyS1tFCCYandaUA==" spinCount="100000" sheet="1" objects="1" scenarios="1"/>
  <dataConsolidate/>
  <mergeCells count="12">
    <mergeCell ref="A29:B29"/>
    <mergeCell ref="M1:X1"/>
    <mergeCell ref="A12:B12"/>
    <mergeCell ref="A21:B21"/>
    <mergeCell ref="A26:B26"/>
    <mergeCell ref="A27:B27"/>
    <mergeCell ref="A2:L2"/>
    <mergeCell ref="A39:B39"/>
    <mergeCell ref="A65:C65"/>
    <mergeCell ref="A66:C66"/>
    <mergeCell ref="A67:C67"/>
    <mergeCell ref="A68:C68"/>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B0D0-A6E1-4D3B-94FC-4A2E724D3827}">
  <sheetPr codeName="Sheet3"/>
  <dimension ref="A1:O34"/>
  <sheetViews>
    <sheetView workbookViewId="0">
      <selection activeCell="I18" sqref="I18"/>
    </sheetView>
  </sheetViews>
  <sheetFormatPr defaultRowHeight="15" x14ac:dyDescent="0.25"/>
  <cols>
    <col min="1" max="12" width="8.7109375" style="5"/>
    <col min="13" max="14" width="12.85546875" style="5" customWidth="1"/>
    <col min="15" max="15" width="8.7109375" style="5"/>
  </cols>
  <sheetData>
    <row r="1" spans="1:15" ht="20.25" x14ac:dyDescent="0.3">
      <c r="A1" s="4" t="s">
        <v>1</v>
      </c>
      <c r="B1" s="4"/>
      <c r="C1" s="4"/>
    </row>
    <row r="2" spans="1:15" ht="15.75" thickBot="1" x14ac:dyDescent="0.3"/>
    <row r="3" spans="1:15" x14ac:dyDescent="0.25">
      <c r="A3" s="6" t="s">
        <v>2</v>
      </c>
      <c r="B3" s="7"/>
      <c r="C3" s="7"/>
      <c r="D3" s="8"/>
      <c r="E3" s="6" t="s">
        <v>3</v>
      </c>
      <c r="F3" s="9"/>
      <c r="G3" s="6" t="s">
        <v>4</v>
      </c>
      <c r="H3" s="10"/>
      <c r="I3" s="9"/>
      <c r="J3" s="11" t="s">
        <v>5</v>
      </c>
      <c r="K3" s="11" t="s">
        <v>6</v>
      </c>
      <c r="L3" s="11" t="s">
        <v>7</v>
      </c>
    </row>
    <row r="4" spans="1:15" x14ac:dyDescent="0.25">
      <c r="A4" s="12"/>
      <c r="D4" s="13"/>
      <c r="E4" s="12"/>
      <c r="F4" s="13"/>
      <c r="G4" s="12" t="s">
        <v>8</v>
      </c>
      <c r="H4" s="5" t="s">
        <v>9</v>
      </c>
      <c r="I4" s="13"/>
      <c r="J4" s="11" t="s">
        <v>10</v>
      </c>
      <c r="K4" s="11" t="s">
        <v>10</v>
      </c>
      <c r="L4" s="11" t="s">
        <v>11</v>
      </c>
      <c r="M4" s="14" t="s">
        <v>12</v>
      </c>
      <c r="N4" s="14" t="s">
        <v>13</v>
      </c>
      <c r="O4" s="14" t="s">
        <v>14</v>
      </c>
    </row>
    <row r="5" spans="1:15" x14ac:dyDescent="0.25">
      <c r="A5" s="15" t="s">
        <v>15</v>
      </c>
      <c r="B5" s="16"/>
      <c r="C5" s="16"/>
      <c r="D5" s="17"/>
      <c r="E5" s="18">
        <v>1</v>
      </c>
      <c r="F5" s="19"/>
      <c r="G5" s="18"/>
      <c r="H5" s="20">
        <v>5000</v>
      </c>
      <c r="I5" s="19"/>
      <c r="J5" s="21">
        <f>H5</f>
        <v>5000</v>
      </c>
      <c r="K5" s="11"/>
      <c r="L5" s="11"/>
      <c r="M5" s="22">
        <v>-147.77584722222224</v>
      </c>
      <c r="N5" s="22">
        <v>64.826408333333333</v>
      </c>
      <c r="O5" s="23" t="s">
        <v>16</v>
      </c>
    </row>
    <row r="6" spans="1:15" x14ac:dyDescent="0.25">
      <c r="A6" s="15" t="s">
        <v>17</v>
      </c>
      <c r="B6" s="16"/>
      <c r="C6" s="16"/>
      <c r="D6" s="17"/>
      <c r="E6" s="18">
        <v>1</v>
      </c>
      <c r="F6" s="19"/>
      <c r="G6" s="18"/>
      <c r="H6" s="20">
        <v>6000</v>
      </c>
      <c r="I6" s="19"/>
      <c r="J6" s="21">
        <f>H6</f>
        <v>6000</v>
      </c>
      <c r="K6" s="11"/>
      <c r="L6" s="11"/>
      <c r="M6" s="22">
        <v>-147.77949444444445</v>
      </c>
      <c r="N6" s="22">
        <v>64.832761111111111</v>
      </c>
      <c r="O6" s="23" t="s">
        <v>16</v>
      </c>
    </row>
    <row r="7" spans="1:15" x14ac:dyDescent="0.25">
      <c r="A7" s="15" t="s">
        <v>18</v>
      </c>
      <c r="B7" s="16"/>
      <c r="C7" s="16"/>
      <c r="D7" s="17"/>
      <c r="E7" s="18">
        <v>2</v>
      </c>
      <c r="F7" s="19"/>
      <c r="G7" s="18"/>
      <c r="H7" s="20">
        <v>8000</v>
      </c>
      <c r="I7" s="19"/>
      <c r="J7" s="21">
        <f>H7</f>
        <v>8000</v>
      </c>
      <c r="K7" s="11"/>
      <c r="L7" s="11"/>
      <c r="M7" s="22">
        <v>-147.76644444444443</v>
      </c>
      <c r="N7" s="22">
        <v>64.810016666666669</v>
      </c>
      <c r="O7" s="23" t="s">
        <v>19</v>
      </c>
    </row>
    <row r="8" spans="1:15" x14ac:dyDescent="0.25">
      <c r="A8" s="15" t="s">
        <v>20</v>
      </c>
      <c r="B8" s="16"/>
      <c r="C8" s="16"/>
      <c r="D8" s="17"/>
      <c r="E8" s="18">
        <v>1</v>
      </c>
      <c r="F8" s="19"/>
      <c r="G8" s="24" t="s">
        <v>21</v>
      </c>
      <c r="H8" s="20">
        <v>6000</v>
      </c>
      <c r="I8" s="19"/>
      <c r="J8" s="21">
        <f>H8</f>
        <v>6000</v>
      </c>
      <c r="K8" s="11"/>
      <c r="L8" s="11"/>
      <c r="M8" s="22">
        <v>-147.7601138888889</v>
      </c>
      <c r="N8" s="22">
        <v>64.81390555555555</v>
      </c>
      <c r="O8" s="23" t="s">
        <v>22</v>
      </c>
    </row>
    <row r="9" spans="1:15" x14ac:dyDescent="0.25">
      <c r="A9" s="15" t="s">
        <v>23</v>
      </c>
      <c r="B9" s="16"/>
      <c r="C9" s="16"/>
      <c r="D9" s="17"/>
      <c r="E9" s="18"/>
      <c r="F9" s="19"/>
      <c r="G9" s="18"/>
      <c r="H9" s="20">
        <v>7800</v>
      </c>
      <c r="I9" s="19"/>
      <c r="J9" s="11"/>
      <c r="K9" s="21">
        <f>H9</f>
        <v>7800</v>
      </c>
      <c r="L9" s="11"/>
      <c r="M9" s="22">
        <v>-147.748075</v>
      </c>
      <c r="N9" s="22">
        <v>64.85329999999999</v>
      </c>
      <c r="O9" s="23" t="s">
        <v>24</v>
      </c>
    </row>
    <row r="10" spans="1:15" x14ac:dyDescent="0.25">
      <c r="A10" s="15" t="s">
        <v>25</v>
      </c>
      <c r="B10" s="16"/>
      <c r="C10" s="16"/>
      <c r="D10" s="17"/>
      <c r="E10" s="18">
        <v>1</v>
      </c>
      <c r="F10" s="19"/>
      <c r="G10" s="18"/>
      <c r="H10" s="20">
        <v>6000</v>
      </c>
      <c r="I10" s="19"/>
      <c r="J10" s="21">
        <f t="shared" ref="J10:J18" si="0">H10</f>
        <v>6000</v>
      </c>
      <c r="K10" s="11"/>
      <c r="L10" s="11"/>
      <c r="M10" s="22">
        <v>-147.74061388888887</v>
      </c>
      <c r="N10" s="22">
        <v>64.810061111111111</v>
      </c>
      <c r="O10" s="23" t="s">
        <v>26</v>
      </c>
    </row>
    <row r="11" spans="1:15" x14ac:dyDescent="0.25">
      <c r="A11" s="25" t="s">
        <v>27</v>
      </c>
      <c r="B11" s="26"/>
      <c r="C11" s="26"/>
      <c r="D11" s="27"/>
      <c r="E11" s="28" t="s">
        <v>28</v>
      </c>
      <c r="F11" s="29"/>
      <c r="G11" s="28"/>
      <c r="H11" s="30">
        <v>5000</v>
      </c>
      <c r="I11" s="19"/>
      <c r="J11" s="21">
        <f t="shared" si="0"/>
        <v>5000</v>
      </c>
      <c r="K11" s="21"/>
      <c r="L11" s="11"/>
      <c r="M11" s="22">
        <v>-147.74262499999998</v>
      </c>
      <c r="N11" s="22">
        <v>64.812116666666668</v>
      </c>
      <c r="O11" s="23" t="s">
        <v>29</v>
      </c>
    </row>
    <row r="12" spans="1:15" x14ac:dyDescent="0.25">
      <c r="A12" s="25" t="s">
        <v>30</v>
      </c>
      <c r="B12" s="26"/>
      <c r="C12" s="26"/>
      <c r="D12" s="27"/>
      <c r="E12" s="28">
        <v>2</v>
      </c>
      <c r="F12" s="29"/>
      <c r="G12" s="29"/>
      <c r="H12" s="30">
        <v>19500</v>
      </c>
      <c r="I12" s="19"/>
      <c r="J12" s="21">
        <f t="shared" si="0"/>
        <v>19500</v>
      </c>
      <c r="K12" s="11"/>
      <c r="L12" s="11"/>
      <c r="M12" s="22">
        <v>-147.69628055555555</v>
      </c>
      <c r="N12" s="22">
        <v>64.805194444444439</v>
      </c>
      <c r="O12" s="23" t="s">
        <v>31</v>
      </c>
    </row>
    <row r="13" spans="1:15" x14ac:dyDescent="0.25">
      <c r="A13" s="25" t="s">
        <v>32</v>
      </c>
      <c r="B13" s="26"/>
      <c r="C13" s="26"/>
      <c r="D13" s="27"/>
      <c r="E13" s="28"/>
      <c r="F13" s="29"/>
      <c r="G13" s="28"/>
      <c r="H13" s="30">
        <v>14400</v>
      </c>
      <c r="I13" s="19"/>
      <c r="J13" s="21">
        <f t="shared" si="0"/>
        <v>14400</v>
      </c>
      <c r="K13" s="11"/>
      <c r="L13" s="11"/>
      <c r="M13" s="22">
        <v>-147.71304166666667</v>
      </c>
      <c r="N13" s="22">
        <v>64.813961111111112</v>
      </c>
      <c r="O13" s="23" t="s">
        <v>33</v>
      </c>
    </row>
    <row r="14" spans="1:15" x14ac:dyDescent="0.25">
      <c r="A14" s="15" t="s">
        <v>34</v>
      </c>
      <c r="B14" s="16"/>
      <c r="C14" s="16"/>
      <c r="D14" s="17"/>
      <c r="E14" s="18">
        <v>1</v>
      </c>
      <c r="F14" s="19"/>
      <c r="G14" s="18"/>
      <c r="H14" s="31">
        <v>750</v>
      </c>
      <c r="I14" s="19"/>
      <c r="J14" s="11">
        <f t="shared" si="0"/>
        <v>750</v>
      </c>
      <c r="K14" s="11"/>
      <c r="L14" s="11"/>
      <c r="M14" s="22">
        <v>-147.70927777777777</v>
      </c>
      <c r="N14" s="22">
        <v>64.818505555555546</v>
      </c>
      <c r="O14" s="23" t="s">
        <v>33</v>
      </c>
    </row>
    <row r="15" spans="1:15" x14ac:dyDescent="0.25">
      <c r="A15" s="15" t="s">
        <v>35</v>
      </c>
      <c r="B15" s="16"/>
      <c r="C15" s="16"/>
      <c r="D15" s="17"/>
      <c r="E15" s="18">
        <v>3</v>
      </c>
      <c r="F15" s="19"/>
      <c r="G15" s="24" t="s">
        <v>21</v>
      </c>
      <c r="H15" s="20">
        <v>10000</v>
      </c>
      <c r="I15" s="19"/>
      <c r="J15" s="21">
        <f t="shared" si="0"/>
        <v>10000</v>
      </c>
      <c r="K15" s="11"/>
      <c r="L15" s="11"/>
      <c r="M15" s="22">
        <v>-147.7093361111111</v>
      </c>
      <c r="N15" s="22">
        <v>64.817025000000001</v>
      </c>
      <c r="O15" s="23" t="s">
        <v>33</v>
      </c>
    </row>
    <row r="16" spans="1:15" x14ac:dyDescent="0.25">
      <c r="A16" s="15" t="s">
        <v>36</v>
      </c>
      <c r="B16" s="16"/>
      <c r="C16" s="16"/>
      <c r="D16" s="17" t="s">
        <v>37</v>
      </c>
      <c r="E16" s="18"/>
      <c r="F16" s="19"/>
      <c r="G16" s="24" t="s">
        <v>21</v>
      </c>
      <c r="H16" s="20">
        <v>5000</v>
      </c>
      <c r="I16" s="19"/>
      <c r="J16" s="21">
        <f t="shared" si="0"/>
        <v>5000</v>
      </c>
      <c r="K16" s="11"/>
      <c r="L16" s="11"/>
      <c r="M16" s="22">
        <v>-147.71263888888888</v>
      </c>
      <c r="N16" s="22">
        <v>64.815749999999994</v>
      </c>
      <c r="O16" s="23" t="s">
        <v>33</v>
      </c>
    </row>
    <row r="17" spans="1:15" x14ac:dyDescent="0.25">
      <c r="A17" s="15" t="s">
        <v>38</v>
      </c>
      <c r="B17" s="16"/>
      <c r="C17" s="16"/>
      <c r="D17" s="17"/>
      <c r="E17" s="18">
        <v>1</v>
      </c>
      <c r="F17" s="19"/>
      <c r="G17" s="18"/>
      <c r="H17" s="20">
        <v>3000</v>
      </c>
      <c r="I17" s="19"/>
      <c r="J17" s="21">
        <f t="shared" si="0"/>
        <v>3000</v>
      </c>
      <c r="K17" s="11"/>
      <c r="L17" s="11"/>
      <c r="M17" s="22">
        <v>-147.71351944444444</v>
      </c>
      <c r="N17" s="22">
        <v>64.823522222222223</v>
      </c>
      <c r="O17" s="23" t="s">
        <v>33</v>
      </c>
    </row>
    <row r="18" spans="1:15" x14ac:dyDescent="0.25">
      <c r="A18" s="15" t="s">
        <v>39</v>
      </c>
      <c r="B18" s="16"/>
      <c r="C18" s="16"/>
      <c r="D18" s="17"/>
      <c r="E18" s="18">
        <v>1</v>
      </c>
      <c r="F18" s="19"/>
      <c r="G18" s="18">
        <v>500</v>
      </c>
      <c r="H18" s="20">
        <v>3500</v>
      </c>
      <c r="I18" s="19"/>
      <c r="J18" s="21">
        <f t="shared" si="0"/>
        <v>3500</v>
      </c>
      <c r="K18" s="11"/>
      <c r="L18" s="11"/>
      <c r="M18" s="22">
        <v>-147.71248888888888</v>
      </c>
      <c r="N18" s="22">
        <v>64.827669444444439</v>
      </c>
      <c r="O18" s="23" t="s">
        <v>40</v>
      </c>
    </row>
    <row r="19" spans="1:15" x14ac:dyDescent="0.25">
      <c r="A19" s="15" t="s">
        <v>41</v>
      </c>
      <c r="B19" s="16"/>
      <c r="C19" s="16"/>
      <c r="D19" s="17"/>
      <c r="E19" s="18">
        <v>1</v>
      </c>
      <c r="F19" s="19"/>
      <c r="G19" s="18"/>
      <c r="H19" s="20">
        <v>2000</v>
      </c>
      <c r="I19" s="19"/>
      <c r="J19" s="21"/>
      <c r="K19" s="21">
        <f>H19</f>
        <v>2000</v>
      </c>
      <c r="L19" s="11"/>
      <c r="M19" s="22">
        <v>-147.71027222222222</v>
      </c>
      <c r="N19" s="22">
        <v>64.85285277777777</v>
      </c>
      <c r="O19" s="23" t="s">
        <v>42</v>
      </c>
    </row>
    <row r="20" spans="1:15" x14ac:dyDescent="0.25">
      <c r="A20" s="15" t="s">
        <v>43</v>
      </c>
      <c r="B20" s="16"/>
      <c r="C20" s="16"/>
      <c r="D20" s="17"/>
      <c r="E20" s="18">
        <v>1</v>
      </c>
      <c r="F20" s="19"/>
      <c r="G20" s="18"/>
      <c r="H20" s="20">
        <v>10000</v>
      </c>
      <c r="I20" s="19"/>
      <c r="J20" s="21"/>
      <c r="K20" s="21">
        <f>H20</f>
        <v>10000</v>
      </c>
      <c r="L20" s="11"/>
      <c r="M20" s="22">
        <v>-147.70123333333333</v>
      </c>
      <c r="N20" s="22">
        <v>64.855161111111101</v>
      </c>
      <c r="O20" s="23" t="s">
        <v>42</v>
      </c>
    </row>
    <row r="21" spans="1:15" x14ac:dyDescent="0.25">
      <c r="A21" s="25" t="s">
        <v>44</v>
      </c>
      <c r="B21" s="26"/>
      <c r="C21" s="26"/>
      <c r="D21" s="27"/>
      <c r="E21" s="28">
        <v>3</v>
      </c>
      <c r="F21" s="29"/>
      <c r="G21" s="28"/>
      <c r="H21" s="30">
        <v>18000</v>
      </c>
      <c r="I21" s="19"/>
      <c r="J21" s="21"/>
      <c r="K21" s="21">
        <f>H21</f>
        <v>18000</v>
      </c>
      <c r="L21" s="11"/>
      <c r="M21" s="22">
        <v>-147.6791111111111</v>
      </c>
      <c r="N21" s="22">
        <v>64.856688888888883</v>
      </c>
      <c r="O21" s="23" t="s">
        <v>45</v>
      </c>
    </row>
    <row r="22" spans="1:15" x14ac:dyDescent="0.25">
      <c r="A22" s="15" t="s">
        <v>46</v>
      </c>
      <c r="B22" s="16"/>
      <c r="C22" s="16"/>
      <c r="D22" s="17"/>
      <c r="E22" s="18" t="s">
        <v>28</v>
      </c>
      <c r="F22" s="19"/>
      <c r="G22" s="24"/>
      <c r="H22" s="20">
        <v>3000</v>
      </c>
      <c r="I22" s="19"/>
      <c r="J22" s="21"/>
      <c r="K22" s="11"/>
      <c r="L22" s="21">
        <f>H22</f>
        <v>3000</v>
      </c>
      <c r="M22" s="22">
        <v>-147.42049166666666</v>
      </c>
      <c r="N22" s="22">
        <v>64.812861111111104</v>
      </c>
      <c r="O22" s="23" t="s">
        <v>47</v>
      </c>
    </row>
    <row r="23" spans="1:15" x14ac:dyDescent="0.25">
      <c r="A23" s="15" t="s">
        <v>48</v>
      </c>
      <c r="B23" s="16"/>
      <c r="C23" s="16"/>
      <c r="D23" s="17"/>
      <c r="E23" s="18" t="s">
        <v>28</v>
      </c>
      <c r="F23" s="19"/>
      <c r="G23" s="18"/>
      <c r="H23" s="20">
        <v>1000</v>
      </c>
      <c r="I23" s="19"/>
      <c r="J23" s="11"/>
      <c r="K23" s="11"/>
      <c r="L23" s="21">
        <f>H23</f>
        <v>1000</v>
      </c>
      <c r="M23" s="22">
        <v>-147.32330833333333</v>
      </c>
      <c r="N23" s="22">
        <v>64.749127777777773</v>
      </c>
      <c r="O23" s="23" t="s">
        <v>49</v>
      </c>
    </row>
    <row r="24" spans="1:15" x14ac:dyDescent="0.25">
      <c r="A24" s="15" t="s">
        <v>50</v>
      </c>
      <c r="B24" s="16"/>
      <c r="C24" s="16"/>
      <c r="D24" s="17"/>
      <c r="E24" s="18" t="s">
        <v>28</v>
      </c>
      <c r="F24" s="19"/>
      <c r="G24" s="24"/>
      <c r="H24" s="20">
        <v>1200</v>
      </c>
      <c r="I24" s="19"/>
      <c r="J24" s="21"/>
      <c r="K24" s="11"/>
      <c r="L24" s="21">
        <f>H24</f>
        <v>1200</v>
      </c>
      <c r="M24" s="22">
        <v>-147.25069999999999</v>
      </c>
      <c r="N24" s="22">
        <v>64.776325</v>
      </c>
      <c r="O24" s="23" t="s">
        <v>51</v>
      </c>
    </row>
    <row r="25" spans="1:15" x14ac:dyDescent="0.25">
      <c r="A25" s="32" t="s">
        <v>52</v>
      </c>
      <c r="B25" s="33"/>
      <c r="C25" s="33"/>
      <c r="D25" s="34"/>
      <c r="E25" s="35">
        <v>0</v>
      </c>
      <c r="F25" s="36"/>
      <c r="G25" s="35"/>
      <c r="H25" s="37">
        <v>0</v>
      </c>
      <c r="I25" s="36"/>
      <c r="J25" s="11"/>
      <c r="K25" s="11"/>
      <c r="L25" s="11"/>
    </row>
    <row r="26" spans="1:15" x14ac:dyDescent="0.25">
      <c r="A26" s="32" t="s">
        <v>53</v>
      </c>
      <c r="B26" s="33"/>
      <c r="C26" s="33"/>
      <c r="D26" s="34"/>
      <c r="E26" s="35">
        <v>0</v>
      </c>
      <c r="F26" s="36"/>
      <c r="G26" s="36"/>
      <c r="H26" s="37">
        <v>0</v>
      </c>
      <c r="I26" s="36"/>
      <c r="J26" s="11"/>
      <c r="K26" s="11"/>
      <c r="L26" s="11"/>
    </row>
    <row r="27" spans="1:15" x14ac:dyDescent="0.25">
      <c r="A27" s="38" t="s">
        <v>54</v>
      </c>
      <c r="B27" s="39"/>
      <c r="C27" s="39"/>
      <c r="D27" s="40"/>
      <c r="E27" s="41">
        <v>0</v>
      </c>
      <c r="F27" s="42"/>
      <c r="G27" s="43"/>
      <c r="H27" s="44">
        <v>0</v>
      </c>
      <c r="I27" s="42"/>
      <c r="J27" s="11"/>
      <c r="K27" s="11"/>
      <c r="L27" s="11"/>
    </row>
    <row r="28" spans="1:15" x14ac:dyDescent="0.25">
      <c r="A28" s="38" t="s">
        <v>55</v>
      </c>
      <c r="B28" s="39"/>
      <c r="C28" s="39"/>
      <c r="D28" s="40"/>
      <c r="E28" s="41">
        <v>1</v>
      </c>
      <c r="F28" s="42"/>
      <c r="G28" s="43"/>
      <c r="H28" s="44">
        <v>0</v>
      </c>
      <c r="I28" s="42"/>
      <c r="J28" s="11"/>
      <c r="K28" s="11"/>
      <c r="L28" s="11"/>
    </row>
    <row r="29" spans="1:15" ht="15.75" thickBot="1" x14ac:dyDescent="0.3">
      <c r="A29" s="45" t="s">
        <v>56</v>
      </c>
      <c r="B29" s="46"/>
      <c r="C29" s="46"/>
      <c r="D29" s="47"/>
      <c r="E29" s="48">
        <v>0</v>
      </c>
      <c r="F29" s="49"/>
      <c r="G29" s="48"/>
      <c r="H29" s="50">
        <v>0</v>
      </c>
      <c r="I29" s="49"/>
      <c r="J29" s="11"/>
      <c r="K29" s="11"/>
      <c r="L29" s="11"/>
    </row>
    <row r="31" spans="1:15" x14ac:dyDescent="0.25">
      <c r="A31" s="5" t="s">
        <v>57</v>
      </c>
      <c r="F31" s="5" t="s">
        <v>58</v>
      </c>
      <c r="H31" s="51">
        <f>SUM(H5:H30)</f>
        <v>135150</v>
      </c>
      <c r="J31" s="20">
        <f>SUM(J5:J30)</f>
        <v>92150</v>
      </c>
      <c r="K31" s="20">
        <f>SUM(K5:K30)</f>
        <v>37800</v>
      </c>
      <c r="L31" s="20">
        <f>SUM(L5:L30)</f>
        <v>5200</v>
      </c>
    </row>
    <row r="32" spans="1:15" x14ac:dyDescent="0.25">
      <c r="A32" s="52" t="s">
        <v>59</v>
      </c>
      <c r="F32" s="5" t="s">
        <v>60</v>
      </c>
      <c r="J32" s="53">
        <f>J31/$H$31</f>
        <v>0.68183499815020343</v>
      </c>
      <c r="K32" s="53">
        <f>K31/$H$31</f>
        <v>0.27968923418423974</v>
      </c>
      <c r="L32" s="53">
        <f>L31/$H$31</f>
        <v>3.8475767665556791E-2</v>
      </c>
    </row>
    <row r="34" spans="7:8" x14ac:dyDescent="0.25">
      <c r="G34" s="54" t="s">
        <v>61</v>
      </c>
      <c r="H34" s="55">
        <v>1</v>
      </c>
    </row>
  </sheetData>
  <sheetProtection algorithmName="SHA-512" hashValue="mxvmchbO0NU+6NyO3V25ey0cGHPCzIvuNnfKoex2N3NN0dFIyZUvpDmncnYXmstpAFk3saxbocGNEPpzouLDHQ==" saltValue="yuwE6TQFjYywMvDlAGsV1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25C3-ADEB-44E0-B78B-ED47B22ADA86}">
  <sheetPr codeName="Sheet4"/>
  <dimension ref="A1:W26"/>
  <sheetViews>
    <sheetView topLeftCell="B1" zoomScale="90" zoomScaleNormal="90" workbookViewId="0">
      <pane ySplit="5" topLeftCell="A17" activePane="bottomLeft" state="frozen"/>
      <selection pane="bottomLeft" activeCell="U25" sqref="U25"/>
    </sheetView>
  </sheetViews>
  <sheetFormatPr defaultRowHeight="15" x14ac:dyDescent="0.25"/>
  <cols>
    <col min="2" max="2" width="11" bestFit="1" customWidth="1"/>
  </cols>
  <sheetData>
    <row r="1" spans="1:23" ht="15.75" x14ac:dyDescent="0.25">
      <c r="A1" s="141" t="s">
        <v>62</v>
      </c>
      <c r="B1" s="141"/>
      <c r="C1" s="141"/>
      <c r="D1" s="141"/>
      <c r="E1" s="141"/>
      <c r="F1" s="141"/>
      <c r="G1" s="141"/>
      <c r="H1" s="141"/>
      <c r="I1" s="141"/>
      <c r="J1" s="141"/>
      <c r="K1" s="141"/>
      <c r="L1" s="141"/>
      <c r="M1" s="141"/>
      <c r="N1" s="141"/>
      <c r="O1" s="141"/>
      <c r="P1" s="141"/>
      <c r="Q1" s="141"/>
      <c r="R1" s="141"/>
      <c r="S1" s="141"/>
      <c r="T1" s="141"/>
      <c r="U1" s="141"/>
      <c r="V1" s="141"/>
      <c r="W1" s="141"/>
    </row>
    <row r="2" spans="1:23" x14ac:dyDescent="0.25">
      <c r="A2" s="142" t="s">
        <v>63</v>
      </c>
      <c r="B2" s="142"/>
      <c r="C2" s="142"/>
      <c r="D2" s="142"/>
      <c r="E2" s="142"/>
      <c r="F2" s="142"/>
      <c r="G2" s="142"/>
      <c r="H2" s="142"/>
      <c r="I2" s="142"/>
      <c r="J2" s="142"/>
      <c r="K2" s="142"/>
      <c r="L2" s="142"/>
      <c r="M2" s="142"/>
      <c r="N2" s="142"/>
      <c r="O2" s="142"/>
      <c r="P2" s="142"/>
      <c r="Q2" s="142"/>
      <c r="R2" s="142"/>
      <c r="S2" s="142"/>
      <c r="T2" s="142"/>
      <c r="U2" s="142"/>
      <c r="V2" s="142"/>
      <c r="W2" s="142"/>
    </row>
    <row r="3" spans="1:23" x14ac:dyDescent="0.25">
      <c r="D3" s="143" t="s">
        <v>64</v>
      </c>
      <c r="E3" s="143"/>
      <c r="F3" s="143"/>
      <c r="G3" s="143"/>
      <c r="H3" s="143"/>
      <c r="I3" s="143"/>
      <c r="J3" s="143"/>
      <c r="K3" s="143"/>
      <c r="L3" s="56"/>
      <c r="M3" s="56"/>
      <c r="N3" s="143" t="s">
        <v>65</v>
      </c>
      <c r="O3" s="143"/>
      <c r="P3" s="143"/>
      <c r="Q3" s="143"/>
      <c r="R3" s="143"/>
      <c r="S3" s="143"/>
      <c r="T3" s="143"/>
      <c r="U3" s="143"/>
    </row>
    <row r="4" spans="1:23" x14ac:dyDescent="0.25">
      <c r="B4" s="57"/>
      <c r="C4" s="57" t="s">
        <v>66</v>
      </c>
      <c r="D4" s="144" t="s">
        <v>67</v>
      </c>
      <c r="E4" s="144"/>
      <c r="F4" s="144"/>
      <c r="G4" s="144"/>
      <c r="H4" s="144"/>
      <c r="I4" s="144"/>
      <c r="J4" s="144"/>
      <c r="K4" s="144" t="s">
        <v>68</v>
      </c>
      <c r="L4" s="144"/>
      <c r="M4" s="58" t="s">
        <v>69</v>
      </c>
      <c r="N4" s="144" t="s">
        <v>67</v>
      </c>
      <c r="O4" s="144"/>
      <c r="P4" s="144"/>
      <c r="Q4" s="144"/>
      <c r="R4" s="144"/>
      <c r="S4" s="144"/>
      <c r="T4" s="144"/>
      <c r="U4" s="144" t="s">
        <v>68</v>
      </c>
      <c r="V4" s="144"/>
      <c r="W4" s="58" t="s">
        <v>69</v>
      </c>
    </row>
    <row r="5" spans="1:23" ht="15.75" thickBot="1" x14ac:dyDescent="0.3">
      <c r="A5" s="59" t="s">
        <v>70</v>
      </c>
      <c r="B5" s="59" t="s">
        <v>71</v>
      </c>
      <c r="C5" s="59" t="s">
        <v>72</v>
      </c>
      <c r="D5" s="59" t="s">
        <v>73</v>
      </c>
      <c r="E5" s="59" t="s">
        <v>74</v>
      </c>
      <c r="F5" s="59" t="s">
        <v>75</v>
      </c>
      <c r="G5" s="59" t="s">
        <v>76</v>
      </c>
      <c r="H5" s="59" t="s">
        <v>77</v>
      </c>
      <c r="I5" s="59" t="s">
        <v>78</v>
      </c>
      <c r="J5" s="59" t="s">
        <v>79</v>
      </c>
      <c r="K5" s="60" t="s">
        <v>80</v>
      </c>
      <c r="L5" s="60" t="s">
        <v>69</v>
      </c>
      <c r="M5" s="60" t="s">
        <v>81</v>
      </c>
      <c r="N5" s="59" t="s">
        <v>73</v>
      </c>
      <c r="O5" s="59" t="s">
        <v>74</v>
      </c>
      <c r="P5" s="59" t="s">
        <v>75</v>
      </c>
      <c r="Q5" s="59" t="s">
        <v>76</v>
      </c>
      <c r="R5" s="59" t="s">
        <v>77</v>
      </c>
      <c r="S5" s="59" t="s">
        <v>78</v>
      </c>
      <c r="T5" s="59" t="s">
        <v>79</v>
      </c>
      <c r="U5" s="60" t="s">
        <v>80</v>
      </c>
      <c r="V5" s="60" t="s">
        <v>69</v>
      </c>
      <c r="W5" s="60" t="s">
        <v>81</v>
      </c>
    </row>
    <row r="6" spans="1:23" ht="15.75" thickTop="1" x14ac:dyDescent="0.25">
      <c r="A6" s="57" t="s">
        <v>82</v>
      </c>
      <c r="B6" s="57">
        <v>2104008100</v>
      </c>
      <c r="C6" s="57" t="s">
        <v>83</v>
      </c>
      <c r="D6" s="61">
        <v>4.0084503924462016</v>
      </c>
      <c r="E6" s="61">
        <v>4.5510790481921921E-2</v>
      </c>
      <c r="F6" s="61">
        <v>7.0016600741418366E-3</v>
      </c>
      <c r="G6" s="61">
        <v>0.60564359641326859</v>
      </c>
      <c r="H6" s="61">
        <v>0.60564359641326859</v>
      </c>
      <c r="I6" s="61">
        <v>3.1507470333638238E-2</v>
      </c>
      <c r="J6" s="61">
        <v>4.4215483368205692</v>
      </c>
      <c r="K6" s="3">
        <v>563.28405101148633</v>
      </c>
      <c r="L6" s="2">
        <v>50.012270778079348</v>
      </c>
      <c r="M6" s="3" t="s">
        <v>84</v>
      </c>
      <c r="N6" s="61">
        <v>3.6867278935603021</v>
      </c>
      <c r="O6" s="61">
        <v>4.1858045953086398E-2</v>
      </c>
      <c r="P6" s="61">
        <v>6.4396993773979047E-3</v>
      </c>
      <c r="Q6" s="61">
        <v>0.55703399614491889</v>
      </c>
      <c r="R6" s="61">
        <v>0.55703399614491889</v>
      </c>
      <c r="S6" s="61">
        <v>2.8978647198290578E-2</v>
      </c>
      <c r="T6" s="61">
        <v>4.0666701568267767</v>
      </c>
      <c r="U6" s="3">
        <v>518.07427298467269</v>
      </c>
      <c r="V6" s="2">
        <v>45.998232645038435</v>
      </c>
      <c r="W6" t="s">
        <v>84</v>
      </c>
    </row>
    <row r="7" spans="1:23" x14ac:dyDescent="0.25">
      <c r="A7" s="57" t="s">
        <v>82</v>
      </c>
      <c r="B7" s="57">
        <v>2104008210</v>
      </c>
      <c r="C7" s="57" t="s">
        <v>85</v>
      </c>
      <c r="D7" s="61">
        <v>8.4803498895848373E-2</v>
      </c>
      <c r="E7" s="61">
        <v>4.4801848473278371E-3</v>
      </c>
      <c r="F7" s="61">
        <v>6.4002640676111982E-4</v>
      </c>
      <c r="G7" s="61">
        <v>4.8962020117225676E-2</v>
      </c>
      <c r="H7" s="61">
        <v>4.8962020117225676E-2</v>
      </c>
      <c r="I7" s="61">
        <v>2.7201122287347592E-3</v>
      </c>
      <c r="J7" s="61">
        <v>0.36929523670116604</v>
      </c>
      <c r="K7" s="3">
        <v>51.490169950719334</v>
      </c>
      <c r="L7" s="2">
        <v>4.5716549534121054</v>
      </c>
      <c r="M7" s="3" t="s">
        <v>84</v>
      </c>
      <c r="N7" s="61">
        <v>7.3528357491766658E-2</v>
      </c>
      <c r="O7" s="61">
        <v>3.8845169995650277E-3</v>
      </c>
      <c r="P7" s="61">
        <v>5.549309999378616E-4</v>
      </c>
      <c r="Q7" s="61">
        <v>4.2452221495246405E-2</v>
      </c>
      <c r="R7" s="61">
        <v>4.2452221495246405E-2</v>
      </c>
      <c r="S7" s="61">
        <v>2.3584567497359115E-3</v>
      </c>
      <c r="T7" s="61">
        <v>0.32019518696414623</v>
      </c>
      <c r="U7" s="3">
        <v>44.644238418724697</v>
      </c>
      <c r="V7" s="2">
        <v>3.9638255982377557</v>
      </c>
      <c r="W7" t="s">
        <v>84</v>
      </c>
    </row>
    <row r="8" spans="1:23" x14ac:dyDescent="0.25">
      <c r="A8" s="57" t="s">
        <v>82</v>
      </c>
      <c r="B8" s="57">
        <v>2104008220</v>
      </c>
      <c r="C8" s="57" t="s">
        <v>86</v>
      </c>
      <c r="D8" s="61">
        <v>4.042566101594041E-2</v>
      </c>
      <c r="E8" s="61">
        <v>6.7376101693234023E-3</v>
      </c>
      <c r="F8" s="61">
        <v>1.3475220338646807E-3</v>
      </c>
      <c r="G8" s="61">
        <v>4.042566101594041E-2</v>
      </c>
      <c r="H8" s="61">
        <v>4.042566101594041E-2</v>
      </c>
      <c r="I8" s="61">
        <v>3.0319245761955319E-3</v>
      </c>
      <c r="J8" s="61">
        <v>0.47432775592036741</v>
      </c>
      <c r="K8" s="3">
        <v>108.40824347725376</v>
      </c>
      <c r="L8" s="2">
        <v>9.6252368900283489</v>
      </c>
      <c r="M8" s="3" t="s">
        <v>84</v>
      </c>
      <c r="N8" s="61">
        <v>3.5050823300010789E-2</v>
      </c>
      <c r="O8" s="61">
        <v>5.8418038833351312E-3</v>
      </c>
      <c r="P8" s="61">
        <v>1.1683607766670261E-3</v>
      </c>
      <c r="Q8" s="61">
        <v>3.5050823300010789E-2</v>
      </c>
      <c r="R8" s="61">
        <v>3.5050823300010789E-2</v>
      </c>
      <c r="S8" s="61">
        <v>2.6288117475008095E-3</v>
      </c>
      <c r="T8" s="61">
        <v>0.41126299338679306</v>
      </c>
      <c r="U8" s="3">
        <v>93.994707591483888</v>
      </c>
      <c r="V8" s="2">
        <v>8.3455030536197867</v>
      </c>
      <c r="W8" t="s">
        <v>84</v>
      </c>
    </row>
    <row r="9" spans="1:23" x14ac:dyDescent="0.25">
      <c r="A9" s="57" t="s">
        <v>82</v>
      </c>
      <c r="B9" s="57">
        <v>2104008230</v>
      </c>
      <c r="C9" s="57" t="s">
        <v>87</v>
      </c>
      <c r="D9" s="61">
        <v>3.0424009772364292E-2</v>
      </c>
      <c r="E9" s="61">
        <v>4.0565346363152371E-3</v>
      </c>
      <c r="F9" s="61">
        <v>8.1130692726304795E-4</v>
      </c>
      <c r="G9" s="61">
        <v>2.6367475136049059E-2</v>
      </c>
      <c r="H9" s="61">
        <v>2.6367475136049059E-2</v>
      </c>
      <c r="I9" s="61">
        <v>1.825440586341857E-3</v>
      </c>
      <c r="J9" s="61">
        <v>0.21702460304286531</v>
      </c>
      <c r="K9" s="3">
        <v>65.269700008740188</v>
      </c>
      <c r="L9" s="2">
        <v>5.795097348450498</v>
      </c>
      <c r="M9" s="3" t="s">
        <v>84</v>
      </c>
      <c r="N9" s="61">
        <v>2.6378952472501344E-2</v>
      </c>
      <c r="O9" s="61">
        <v>3.5171936630001783E-3</v>
      </c>
      <c r="P9" s="61">
        <v>7.0343873260003556E-4</v>
      </c>
      <c r="Q9" s="61">
        <v>2.2861758809501153E-2</v>
      </c>
      <c r="R9" s="61">
        <v>2.2861758809501153E-2</v>
      </c>
      <c r="S9" s="61">
        <v>1.5827371483500801E-3</v>
      </c>
      <c r="T9" s="61">
        <v>0.18816986097050956</v>
      </c>
      <c r="U9" s="3">
        <v>56.591696075148135</v>
      </c>
      <c r="V9" s="2">
        <v>5.024603879372691</v>
      </c>
      <c r="W9" t="s">
        <v>84</v>
      </c>
    </row>
    <row r="10" spans="1:23" x14ac:dyDescent="0.25">
      <c r="A10" s="57" t="s">
        <v>82</v>
      </c>
      <c r="B10" s="57">
        <v>2104008310</v>
      </c>
      <c r="C10" s="57" t="s">
        <v>88</v>
      </c>
      <c r="D10" s="61">
        <v>1.7210209204769462</v>
      </c>
      <c r="E10" s="61">
        <v>4.7154110403631648E-2</v>
      </c>
      <c r="F10" s="61">
        <v>1.2988837135675059E-2</v>
      </c>
      <c r="G10" s="61">
        <v>0.39427710545797529</v>
      </c>
      <c r="H10" s="61">
        <v>0.39427710545797529</v>
      </c>
      <c r="I10" s="61">
        <v>1.2892347780651249E-2</v>
      </c>
      <c r="J10" s="61">
        <v>3.9346643266232229</v>
      </c>
      <c r="K10" s="3">
        <v>1044.9528714957255</v>
      </c>
      <c r="L10" s="2">
        <v>92.778174467627622</v>
      </c>
      <c r="M10" s="3" t="s">
        <v>84</v>
      </c>
      <c r="N10" s="61">
        <v>1.4922007126976362</v>
      </c>
      <c r="O10" s="61">
        <v>4.088468438339634E-2</v>
      </c>
      <c r="P10" s="61">
        <v>1.1261892171302917E-2</v>
      </c>
      <c r="Q10" s="61">
        <v>0.34185556419715402</v>
      </c>
      <c r="R10" s="61">
        <v>0.34185556419715402</v>
      </c>
      <c r="S10" s="61">
        <v>1.1178231663390922E-2</v>
      </c>
      <c r="T10" s="61">
        <v>3.4115267528450648</v>
      </c>
      <c r="U10" s="3">
        <v>906.02002626977958</v>
      </c>
      <c r="V10" s="2">
        <v>80.442751401890433</v>
      </c>
      <c r="W10" t="s">
        <v>84</v>
      </c>
    </row>
    <row r="11" spans="1:23" x14ac:dyDescent="0.25">
      <c r="A11" s="57" t="s">
        <v>82</v>
      </c>
      <c r="B11" s="57">
        <v>2104008320</v>
      </c>
      <c r="C11" s="57" t="s">
        <v>89</v>
      </c>
      <c r="D11" s="61">
        <v>0.82040728552945108</v>
      </c>
      <c r="E11" s="61">
        <v>0.10999197990148663</v>
      </c>
      <c r="F11" s="61">
        <v>2.7346909517648375E-2</v>
      </c>
      <c r="G11" s="61">
        <v>0.54181920856216348</v>
      </c>
      <c r="H11" s="61">
        <v>0.54181920856216348</v>
      </c>
      <c r="I11" s="61">
        <v>1.7074161668637407E-2</v>
      </c>
      <c r="J11" s="61">
        <v>8.4529945777251783</v>
      </c>
      <c r="K11" s="3">
        <v>2200.0608159535018</v>
      </c>
      <c r="L11" s="2">
        <v>195.33668148091238</v>
      </c>
      <c r="M11" s="3" t="s">
        <v>84</v>
      </c>
      <c r="N11" s="61">
        <v>0.71132914283814419</v>
      </c>
      <c r="O11" s="61">
        <v>9.536787661740749E-2</v>
      </c>
      <c r="P11" s="61">
        <v>2.3710971427938141E-2</v>
      </c>
      <c r="Q11" s="61">
        <v>0.4697810465579173</v>
      </c>
      <c r="R11" s="61">
        <v>0.4697810465579173</v>
      </c>
      <c r="S11" s="61">
        <v>1.4804047938937699E-2</v>
      </c>
      <c r="T11" s="61">
        <v>7.3291174925492335</v>
      </c>
      <c r="U11" s="3">
        <v>1907.5493380023308</v>
      </c>
      <c r="V11" s="2">
        <v>169.36548060149698</v>
      </c>
      <c r="W11" t="s">
        <v>84</v>
      </c>
    </row>
    <row r="12" spans="1:23" x14ac:dyDescent="0.25">
      <c r="A12" s="57" t="s">
        <v>82</v>
      </c>
      <c r="B12" s="57">
        <v>2104008330</v>
      </c>
      <c r="C12" s="57" t="s">
        <v>90</v>
      </c>
      <c r="D12" s="61">
        <v>0.61743156809296862</v>
      </c>
      <c r="E12" s="61">
        <v>6.6223225294151505E-2</v>
      </c>
      <c r="F12" s="61">
        <v>1.6464841815812498E-2</v>
      </c>
      <c r="G12" s="61">
        <v>0.36196440537808544</v>
      </c>
      <c r="H12" s="61">
        <v>0.36196440537808544</v>
      </c>
      <c r="I12" s="61">
        <v>1.0279895460593108E-2</v>
      </c>
      <c r="J12" s="61">
        <v>5.0893216471992062</v>
      </c>
      <c r="K12" s="3">
        <v>1324.5976952702747</v>
      </c>
      <c r="L12" s="2">
        <v>117.60698441384761</v>
      </c>
      <c r="M12" s="3" t="s">
        <v>84</v>
      </c>
      <c r="N12" s="61">
        <v>0.53534028261261279</v>
      </c>
      <c r="O12" s="61">
        <v>5.7418444369452239E-2</v>
      </c>
      <c r="P12" s="61">
        <v>1.4275740869669666E-2</v>
      </c>
      <c r="Q12" s="61">
        <v>0.31383903429057136</v>
      </c>
      <c r="R12" s="61">
        <v>0.31383903429057136</v>
      </c>
      <c r="S12" s="61">
        <v>8.9131207821129578E-3</v>
      </c>
      <c r="T12" s="61">
        <v>4.4126653538839964</v>
      </c>
      <c r="U12" s="3">
        <v>1148.4843684364901</v>
      </c>
      <c r="V12" s="2">
        <v>101.97041992489488</v>
      </c>
      <c r="W12" t="s">
        <v>84</v>
      </c>
    </row>
    <row r="13" spans="1:23" x14ac:dyDescent="0.25">
      <c r="A13" s="57" t="s">
        <v>82</v>
      </c>
      <c r="B13" s="57">
        <v>2104008410</v>
      </c>
      <c r="C13" s="57" t="s">
        <v>91</v>
      </c>
      <c r="D13" s="61">
        <v>1.0345643219085578E-2</v>
      </c>
      <c r="E13" s="61">
        <v>1.8066715847007558E-2</v>
      </c>
      <c r="F13" s="61">
        <v>1.4438933743862188E-3</v>
      </c>
      <c r="G13" s="61">
        <v>1.3356013713072523E-2</v>
      </c>
      <c r="H13" s="61">
        <v>1.3356013713072523E-2</v>
      </c>
      <c r="I13" s="61">
        <v>3.2433454922150428E-4</v>
      </c>
      <c r="J13" s="61">
        <v>4.4814840607512237E-2</v>
      </c>
      <c r="K13" s="3">
        <v>138.71795548144337</v>
      </c>
      <c r="L13" s="2">
        <v>12.316343661535752</v>
      </c>
      <c r="M13" s="3" t="s">
        <v>84</v>
      </c>
      <c r="N13" s="61">
        <v>8.9701269758863215E-3</v>
      </c>
      <c r="O13" s="61">
        <v>1.5664635997300468E-2</v>
      </c>
      <c r="P13" s="61">
        <v>1.2519189608232147E-3</v>
      </c>
      <c r="Q13" s="61">
        <v>1.1580250387614736E-2</v>
      </c>
      <c r="R13" s="61">
        <v>1.1580250387614736E-2</v>
      </c>
      <c r="S13" s="61">
        <v>2.8121229657491456E-4</v>
      </c>
      <c r="T13" s="61">
        <v>3.8856434746550518E-2</v>
      </c>
      <c r="U13" s="3">
        <v>120.27455887985623</v>
      </c>
      <c r="V13" s="2">
        <v>10.678810798232162</v>
      </c>
      <c r="W13" t="s">
        <v>84</v>
      </c>
    </row>
    <row r="14" spans="1:23" x14ac:dyDescent="0.25">
      <c r="A14" s="57" t="s">
        <v>82</v>
      </c>
      <c r="B14" s="57">
        <v>2104008420</v>
      </c>
      <c r="C14" s="57" t="s">
        <v>92</v>
      </c>
      <c r="D14" s="61">
        <v>3.4896176106047186E-2</v>
      </c>
      <c r="E14" s="61">
        <v>6.0939594040129087E-2</v>
      </c>
      <c r="F14" s="61">
        <v>4.8702972259843432E-3</v>
      </c>
      <c r="G14" s="61">
        <v>4.505024934035521E-2</v>
      </c>
      <c r="H14" s="61">
        <v>4.505024934035521E-2</v>
      </c>
      <c r="I14" s="61">
        <v>1.0939905143867333E-3</v>
      </c>
      <c r="J14" s="61">
        <v>0.15116185015148903</v>
      </c>
      <c r="K14" s="3">
        <v>467.89997499827962</v>
      </c>
      <c r="L14" s="2">
        <v>41.543409945035584</v>
      </c>
      <c r="M14" s="3" t="s">
        <v>84</v>
      </c>
      <c r="N14" s="61">
        <v>3.0256517068621758E-2</v>
      </c>
      <c r="O14" s="61">
        <v>5.2837304053796594E-2</v>
      </c>
      <c r="P14" s="61">
        <v>4.2227615627409877E-3</v>
      </c>
      <c r="Q14" s="61">
        <v>3.9060544455354125E-2</v>
      </c>
      <c r="R14" s="61">
        <v>3.9060544455354125E-2</v>
      </c>
      <c r="S14" s="61">
        <v>9.4853781603069468E-4</v>
      </c>
      <c r="T14" s="61">
        <v>0.13106396200357348</v>
      </c>
      <c r="U14" s="3">
        <v>405.68982506624457</v>
      </c>
      <c r="V14" s="2">
        <v>36.019960704889392</v>
      </c>
      <c r="W14" t="s">
        <v>84</v>
      </c>
    </row>
    <row r="15" spans="1:23" x14ac:dyDescent="0.25">
      <c r="A15" s="57" t="s">
        <v>82</v>
      </c>
      <c r="B15" s="57">
        <v>2104008610</v>
      </c>
      <c r="C15" s="57" t="s">
        <v>93</v>
      </c>
      <c r="D15" s="61">
        <v>0.97026625148373258</v>
      </c>
      <c r="E15" s="61">
        <v>3.4466539582770975E-2</v>
      </c>
      <c r="F15" s="61">
        <v>8.5486013346584358E-3</v>
      </c>
      <c r="G15" s="61">
        <v>0.21093998809609121</v>
      </c>
      <c r="H15" s="61">
        <v>0.21093998809609121</v>
      </c>
      <c r="I15" s="61">
        <v>5.2094870831807276E-3</v>
      </c>
      <c r="J15" s="61">
        <v>1.2944862009298423</v>
      </c>
      <c r="K15" s="3">
        <v>687.73558545810897</v>
      </c>
      <c r="L15" s="2">
        <v>61.061942481574874</v>
      </c>
      <c r="M15" s="3" t="s">
        <v>84</v>
      </c>
      <c r="N15" s="61">
        <v>0.89029748581979329</v>
      </c>
      <c r="O15" s="61">
        <v>3.162582795034366E-2</v>
      </c>
      <c r="P15" s="61">
        <v>7.8440307120686645E-3</v>
      </c>
      <c r="Q15" s="61">
        <v>0.19355444010716033</v>
      </c>
      <c r="R15" s="61">
        <v>0.19355444010716033</v>
      </c>
      <c r="S15" s="61">
        <v>4.7801242653488819E-3</v>
      </c>
      <c r="T15" s="61">
        <v>1.1877954204362808</v>
      </c>
      <c r="U15" s="3">
        <v>631.0528287527726</v>
      </c>
      <c r="V15" s="2">
        <v>56.02925360692133</v>
      </c>
      <c r="W15" t="s">
        <v>84</v>
      </c>
    </row>
    <row r="16" spans="1:23" x14ac:dyDescent="0.25">
      <c r="A16" s="57" t="s">
        <v>82</v>
      </c>
      <c r="B16" s="57">
        <v>2104004000</v>
      </c>
      <c r="C16" s="57" t="s">
        <v>94</v>
      </c>
      <c r="D16" s="61">
        <v>7.8913250313530567E-2</v>
      </c>
      <c r="E16" s="61">
        <v>1.2364266447679804</v>
      </c>
      <c r="F16" s="61">
        <v>3.1988729846347095</v>
      </c>
      <c r="G16" s="61">
        <v>5.0535148968718552E-2</v>
      </c>
      <c r="H16" s="61">
        <v>5.0535148968718552E-2</v>
      </c>
      <c r="I16" s="61">
        <v>2.7112107421717506E-3</v>
      </c>
      <c r="J16" s="61">
        <v>4.9566558613484794E-2</v>
      </c>
      <c r="K16" s="3">
        <v>29708.273446891406</v>
      </c>
      <c r="L16" s="2">
        <v>221.35554085141817</v>
      </c>
      <c r="M16" s="3" t="s">
        <v>95</v>
      </c>
      <c r="N16" s="61">
        <v>7.2774896985136686E-2</v>
      </c>
      <c r="O16" s="61">
        <v>1.1402498483482155</v>
      </c>
      <c r="P16" s="61">
        <v>2.9500451571871453</v>
      </c>
      <c r="Q16" s="61">
        <v>4.6604217234940688E-2</v>
      </c>
      <c r="R16" s="61">
        <v>4.6604217234940688E-2</v>
      </c>
      <c r="S16" s="61">
        <v>2.5003162546545685E-3</v>
      </c>
      <c r="T16" s="61">
        <v>4.5710969737937673E-2</v>
      </c>
      <c r="U16" s="3">
        <v>27397.382963113003</v>
      </c>
      <c r="V16" s="2">
        <v>204.1371584435812</v>
      </c>
      <c r="W16" t="s">
        <v>95</v>
      </c>
    </row>
    <row r="17" spans="1:23" x14ac:dyDescent="0.25">
      <c r="A17" s="57" t="s">
        <v>82</v>
      </c>
      <c r="B17" s="57">
        <v>2103004001</v>
      </c>
      <c r="C17" s="57" t="s">
        <v>96</v>
      </c>
      <c r="D17" s="61">
        <v>1.9534636354851857E-2</v>
      </c>
      <c r="E17" s="61">
        <v>0.49316052508742436</v>
      </c>
      <c r="F17" s="61">
        <v>0.34858777737735092</v>
      </c>
      <c r="G17" s="61">
        <v>1.2509759188982738E-2</v>
      </c>
      <c r="H17" s="61">
        <v>1.2509759188982738E-2</v>
      </c>
      <c r="I17" s="61">
        <v>6.7114858048892396E-4</v>
      </c>
      <c r="J17" s="61">
        <v>1.2269988804527242E-2</v>
      </c>
      <c r="K17" s="3">
        <v>7589.1925249564747</v>
      </c>
      <c r="L17" s="2">
        <v>56.546867962232952</v>
      </c>
      <c r="M17" s="3" t="s">
        <v>95</v>
      </c>
      <c r="N17" s="61">
        <v>1.9273203912003246E-2</v>
      </c>
      <c r="O17" s="61">
        <v>0.48656054756810452</v>
      </c>
      <c r="P17" s="61">
        <v>0.34392261993436135</v>
      </c>
      <c r="Q17" s="61">
        <v>1.2342340822711932E-2</v>
      </c>
      <c r="R17" s="61">
        <v>1.2342340822711932E-2</v>
      </c>
      <c r="S17" s="61">
        <v>6.6216658513849511E-4</v>
      </c>
      <c r="T17" s="61">
        <v>1.2105779290276618E-2</v>
      </c>
      <c r="U17" s="3">
        <v>7487.626204242496</v>
      </c>
      <c r="V17" s="2">
        <v>55.790100057355474</v>
      </c>
      <c r="W17" t="s">
        <v>95</v>
      </c>
    </row>
    <row r="18" spans="1:23" x14ac:dyDescent="0.25">
      <c r="A18" s="57" t="s">
        <v>82</v>
      </c>
      <c r="B18" s="57">
        <v>2104004000</v>
      </c>
      <c r="C18" s="57" t="s">
        <v>97</v>
      </c>
      <c r="D18" s="61">
        <v>5.1092682956384089E-4</v>
      </c>
      <c r="E18" s="61">
        <v>1.2898573537376072E-2</v>
      </c>
      <c r="F18" s="61">
        <v>2.0711224359955167E-2</v>
      </c>
      <c r="G18" s="61">
        <v>2.8663496749724597E-4</v>
      </c>
      <c r="H18" s="61">
        <v>2.8663496749724597E-4</v>
      </c>
      <c r="I18" s="61">
        <v>1.7553836691222029E-5</v>
      </c>
      <c r="J18" s="61">
        <v>3.2092056206226032E-4</v>
      </c>
      <c r="K18" s="3">
        <v>196.33778686142608</v>
      </c>
      <c r="L18" s="2">
        <v>1.4331748374862299</v>
      </c>
      <c r="M18" s="3" t="s">
        <v>95</v>
      </c>
      <c r="N18" s="61">
        <v>4.8186820767266909E-4</v>
      </c>
      <c r="O18" s="61">
        <v>1.2164975789772858E-2</v>
      </c>
      <c r="P18" s="61">
        <v>1.9533287319355965E-2</v>
      </c>
      <c r="Q18" s="61">
        <v>2.7033279532828562E-4</v>
      </c>
      <c r="R18" s="61">
        <v>2.7033279532828562E-4</v>
      </c>
      <c r="S18" s="61">
        <v>1.6555473963656821E-5</v>
      </c>
      <c r="T18" s="61">
        <v>3.0266841962137418E-4</v>
      </c>
      <c r="U18" s="3">
        <v>185.17120647999246</v>
      </c>
      <c r="V18" s="2">
        <v>1.3516639766414282</v>
      </c>
      <c r="W18" t="s">
        <v>95</v>
      </c>
    </row>
    <row r="19" spans="1:23" x14ac:dyDescent="0.25">
      <c r="A19" s="57" t="s">
        <v>82</v>
      </c>
      <c r="B19" s="57">
        <v>2104004000</v>
      </c>
      <c r="C19" s="57" t="s">
        <v>98</v>
      </c>
      <c r="D19" s="61">
        <v>2.1367772001734215E-3</v>
      </c>
      <c r="E19" s="61">
        <v>3.3479399894571923E-2</v>
      </c>
      <c r="F19" s="61">
        <v>8.6617631800247466E-2</v>
      </c>
      <c r="G19" s="61">
        <v>1.3683678431023951E-3</v>
      </c>
      <c r="H19" s="61">
        <v>1.3683678431023951E-3</v>
      </c>
      <c r="I19" s="61">
        <v>7.3412934782443517E-5</v>
      </c>
      <c r="J19" s="61">
        <v>1.3421407927762664E-3</v>
      </c>
      <c r="K19" s="3">
        <v>749.22061717160648</v>
      </c>
      <c r="L19" s="2">
        <v>5.9937649373728501</v>
      </c>
      <c r="M19" s="3" t="s">
        <v>95</v>
      </c>
      <c r="N19" s="61">
        <v>1.7542550278546042E-3</v>
      </c>
      <c r="O19" s="61">
        <v>2.7485975416548354E-2</v>
      </c>
      <c r="P19" s="61">
        <v>7.1111492613320032E-2</v>
      </c>
      <c r="Q19" s="61">
        <v>1.1234049897771809E-3</v>
      </c>
      <c r="R19" s="61">
        <v>1.1234049897771809E-3</v>
      </c>
      <c r="S19" s="61">
        <v>6.0270677701545778E-5</v>
      </c>
      <c r="T19" s="61">
        <v>1.1018730608064523E-3</v>
      </c>
      <c r="U19" s="3">
        <v>615.09643332910423</v>
      </c>
      <c r="V19" s="2">
        <v>4.9207714666328313</v>
      </c>
      <c r="W19" t="s">
        <v>95</v>
      </c>
    </row>
    <row r="20" spans="1:23" x14ac:dyDescent="0.25">
      <c r="A20" s="57" t="s">
        <v>82</v>
      </c>
      <c r="B20" s="57">
        <v>2104006010</v>
      </c>
      <c r="C20" s="57" t="s">
        <v>99</v>
      </c>
      <c r="D20" s="61">
        <v>7.3859394733297981E-4</v>
      </c>
      <c r="E20" s="61">
        <v>1.2623242008963663E-2</v>
      </c>
      <c r="F20" s="61">
        <v>8.0573885163597736E-5</v>
      </c>
      <c r="G20" s="61">
        <v>6.6516427998722211E-6</v>
      </c>
      <c r="H20" s="61">
        <v>6.6516427998722211E-6</v>
      </c>
      <c r="I20" s="61">
        <v>2.6857961721199323E-3</v>
      </c>
      <c r="J20" s="61">
        <v>5.3715923442398646E-3</v>
      </c>
      <c r="K20" s="3">
        <v>331.2113513513512</v>
      </c>
      <c r="L20" s="2">
        <v>326.31660231660209</v>
      </c>
      <c r="M20" s="3" t="s">
        <v>100</v>
      </c>
      <c r="N20" s="61">
        <v>7.3859394733297981E-4</v>
      </c>
      <c r="O20" s="61">
        <v>1.2623242008963663E-2</v>
      </c>
      <c r="P20" s="61">
        <v>8.0573885163597736E-5</v>
      </c>
      <c r="Q20" s="61">
        <v>6.6516427998722211E-6</v>
      </c>
      <c r="R20" s="61">
        <v>6.6516427998722211E-6</v>
      </c>
      <c r="S20" s="61">
        <v>2.6857961721199323E-3</v>
      </c>
      <c r="T20" s="61">
        <v>5.3715923442398646E-3</v>
      </c>
      <c r="U20" s="3">
        <v>331.2113513513512</v>
      </c>
      <c r="V20" s="2">
        <v>326.31660231660209</v>
      </c>
      <c r="W20" t="s">
        <v>100</v>
      </c>
    </row>
    <row r="21" spans="1:23" x14ac:dyDescent="0.25">
      <c r="A21" s="57" t="s">
        <v>82</v>
      </c>
      <c r="B21" s="57">
        <v>2103006000</v>
      </c>
      <c r="C21" s="57" t="s">
        <v>101</v>
      </c>
      <c r="D21" s="61">
        <v>9.8252191119691055E-3</v>
      </c>
      <c r="E21" s="61">
        <v>0.17864034749034752</v>
      </c>
      <c r="F21" s="61">
        <v>1.0718420849420854E-3</v>
      </c>
      <c r="G21" s="61">
        <v>1.3576666409266396E-2</v>
      </c>
      <c r="H21" s="61">
        <v>1.3576666409266396E-2</v>
      </c>
      <c r="I21" s="61">
        <v>3.5728069498069538E-2</v>
      </c>
      <c r="J21" s="61">
        <v>7.1456138996139076E-2</v>
      </c>
      <c r="K21" s="3">
        <v>3626.3990540540535</v>
      </c>
      <c r="L21" s="2">
        <v>3572.8069498069535</v>
      </c>
      <c r="M21" s="3" t="s">
        <v>100</v>
      </c>
      <c r="N21" s="61">
        <v>9.8252191119691055E-3</v>
      </c>
      <c r="O21" s="61">
        <v>0.17864034749034752</v>
      </c>
      <c r="P21" s="61">
        <v>1.0718420849420854E-3</v>
      </c>
      <c r="Q21" s="61">
        <v>1.3576666409266396E-2</v>
      </c>
      <c r="R21" s="61">
        <v>1.3576666409266396E-2</v>
      </c>
      <c r="S21" s="61">
        <v>3.5728069498069538E-2</v>
      </c>
      <c r="T21" s="61">
        <v>7.1456138996139076E-2</v>
      </c>
      <c r="U21" s="3">
        <v>3626.3990540540535</v>
      </c>
      <c r="V21" s="2">
        <v>3572.8069498069535</v>
      </c>
      <c r="W21" t="s">
        <v>100</v>
      </c>
    </row>
    <row r="22" spans="1:23" x14ac:dyDescent="0.25">
      <c r="A22" s="57" t="s">
        <v>82</v>
      </c>
      <c r="B22" s="57">
        <v>2104002000</v>
      </c>
      <c r="C22" s="57" t="s">
        <v>102</v>
      </c>
      <c r="D22" s="61">
        <v>0.11620265373228615</v>
      </c>
      <c r="E22" s="61">
        <v>5.4847652561639024E-2</v>
      </c>
      <c r="F22" s="61">
        <v>0.10806846797102611</v>
      </c>
      <c r="G22" s="61">
        <v>9.2845920332096599E-2</v>
      </c>
      <c r="H22" s="61">
        <v>9.2845920332096599E-2</v>
      </c>
      <c r="I22" s="61">
        <v>1.4710674949238764E-2</v>
      </c>
      <c r="J22" s="61">
        <v>1.5173161511093256</v>
      </c>
      <c r="K22" s="3">
        <v>353.25606734614973</v>
      </c>
      <c r="L22" s="2">
        <v>23.240530746457218</v>
      </c>
      <c r="M22" s="3" t="s">
        <v>84</v>
      </c>
      <c r="N22" s="61">
        <v>0.10172859705030877</v>
      </c>
      <c r="O22" s="61">
        <v>4.8015897807745768E-2</v>
      </c>
      <c r="P22" s="61">
        <v>9.4607595256787205E-2</v>
      </c>
      <c r="Q22" s="61">
        <v>8.1281149043196749E-2</v>
      </c>
      <c r="R22" s="61">
        <v>8.1281149043196749E-2</v>
      </c>
      <c r="S22" s="61">
        <v>1.2878331743583845E-2</v>
      </c>
      <c r="T22" s="61">
        <v>1.3283211559844081</v>
      </c>
      <c r="U22" s="3">
        <v>309.25493503293876</v>
      </c>
      <c r="V22" s="2">
        <v>20.345719410061765</v>
      </c>
      <c r="W22" t="s">
        <v>84</v>
      </c>
    </row>
    <row r="23" spans="1:23" x14ac:dyDescent="0.25">
      <c r="A23" s="57" t="s">
        <v>82</v>
      </c>
      <c r="B23" s="57">
        <v>2103002000</v>
      </c>
      <c r="C23" s="57" t="s">
        <v>103</v>
      </c>
      <c r="D23" s="61">
        <v>3.4306968075628966E-4</v>
      </c>
      <c r="E23" s="61">
        <v>1.6192888931696874E-4</v>
      </c>
      <c r="F23" s="61">
        <v>3.1905480310334949E-4</v>
      </c>
      <c r="G23" s="61">
        <v>2.7411267492427551E-4</v>
      </c>
      <c r="H23" s="61">
        <v>2.7411267492427551E-4</v>
      </c>
      <c r="I23" s="61">
        <v>4.3430906235342501E-5</v>
      </c>
      <c r="J23" s="61">
        <v>4.479632356475252E-3</v>
      </c>
      <c r="K23" s="3">
        <v>15.771578762811425</v>
      </c>
      <c r="L23" s="2">
        <v>1.0429318294991208</v>
      </c>
      <c r="M23" s="3" t="s">
        <v>84</v>
      </c>
      <c r="N23" s="61">
        <v>3.2420498955655012E-4</v>
      </c>
      <c r="O23" s="61">
        <v>1.5302475507069169E-4</v>
      </c>
      <c r="P23" s="61">
        <v>3.0151064028759156E-4</v>
      </c>
      <c r="Q23" s="61">
        <v>2.590397866556836E-4</v>
      </c>
      <c r="R23" s="61">
        <v>2.590397866556836E-4</v>
      </c>
      <c r="S23" s="61">
        <v>4.1042730652911462E-5</v>
      </c>
      <c r="T23" s="61">
        <v>4.2333066511346532E-3</v>
      </c>
      <c r="U23" s="3">
        <v>14.899879111853862</v>
      </c>
      <c r="V23" s="2">
        <v>0.9855831682519125</v>
      </c>
      <c r="W23" t="s">
        <v>84</v>
      </c>
    </row>
    <row r="24" spans="1:23" x14ac:dyDescent="0.25">
      <c r="A24" s="57" t="s">
        <v>82</v>
      </c>
      <c r="B24" s="57">
        <v>2103008000</v>
      </c>
      <c r="C24" s="57" t="s">
        <v>104</v>
      </c>
      <c r="D24" s="61">
        <v>1.0482954583613648E-3</v>
      </c>
      <c r="E24" s="61">
        <v>4.1679965115877392E-5</v>
      </c>
      <c r="F24" s="61">
        <v>9.0864148597688871E-6</v>
      </c>
      <c r="G24" s="61">
        <v>2.9480723903000934E-4</v>
      </c>
      <c r="H24" s="61">
        <v>2.9480723903000934E-4</v>
      </c>
      <c r="I24" s="61">
        <v>1.0794731400904207E-5</v>
      </c>
      <c r="J24" s="61">
        <v>2.0968588757242961E-3</v>
      </c>
      <c r="K24" s="3">
        <v>9.5180772410486298</v>
      </c>
      <c r="L24" s="2">
        <v>0.78597488537000881</v>
      </c>
      <c r="M24" s="3" t="s">
        <v>84</v>
      </c>
      <c r="N24" s="61">
        <v>8.5939367151145166E-4</v>
      </c>
      <c r="O24" s="61">
        <v>3.4969651422329493E-5</v>
      </c>
      <c r="P24" s="61">
        <v>7.422081935981108E-6</v>
      </c>
      <c r="Q24" s="61">
        <v>2.5373919135905626E-4</v>
      </c>
      <c r="R24" s="61">
        <v>2.5373919135905626E-4</v>
      </c>
      <c r="S24" s="61">
        <v>9.780492868872896E-6</v>
      </c>
      <c r="T24" s="61">
        <v>1.8448344895990803E-3</v>
      </c>
      <c r="U24" s="3">
        <v>7.7746779391334933</v>
      </c>
      <c r="V24" s="2">
        <v>0.64201008746236554</v>
      </c>
      <c r="W24" t="s">
        <v>84</v>
      </c>
    </row>
    <row r="25" spans="1:23" x14ac:dyDescent="0.25">
      <c r="A25" s="62" t="s">
        <v>82</v>
      </c>
      <c r="B25" s="62">
        <v>2102012000</v>
      </c>
      <c r="C25" s="62" t="s">
        <v>105</v>
      </c>
      <c r="D25" s="63">
        <v>5.0131221756334545E-4</v>
      </c>
      <c r="E25" s="63">
        <v>2.6170975573959268E-2</v>
      </c>
      <c r="F25" s="63">
        <v>1.8531122266994819E-2</v>
      </c>
      <c r="G25" s="63">
        <v>2.6089203443762409E-3</v>
      </c>
      <c r="H25" s="63">
        <v>2.6089203443762409E-3</v>
      </c>
      <c r="I25" s="63">
        <v>1.8239078944863151E-5</v>
      </c>
      <c r="J25" s="63">
        <v>6.2302575388089327E-3</v>
      </c>
      <c r="K25" s="64">
        <v>138.86348426504668</v>
      </c>
      <c r="L25" s="65">
        <v>1.0026244351266906</v>
      </c>
      <c r="M25" s="64" t="s">
        <v>95</v>
      </c>
      <c r="N25" s="63">
        <v>5.0131221756334545E-4</v>
      </c>
      <c r="O25" s="63">
        <v>2.6170975573959268E-2</v>
      </c>
      <c r="P25" s="63">
        <v>1.8531122266994819E-2</v>
      </c>
      <c r="Q25" s="63">
        <v>2.6089203443762409E-3</v>
      </c>
      <c r="R25" s="63">
        <v>2.6089203443762409E-3</v>
      </c>
      <c r="S25" s="63">
        <v>1.8239078944863151E-5</v>
      </c>
      <c r="T25" s="63">
        <v>6.2302575388089327E-3</v>
      </c>
      <c r="U25" s="64">
        <v>138.86348426504668</v>
      </c>
      <c r="V25" s="65">
        <v>1.0026244351266906</v>
      </c>
      <c r="W25" s="66" t="s">
        <v>95</v>
      </c>
    </row>
    <row r="26" spans="1:23" x14ac:dyDescent="0.25">
      <c r="A26" s="67" t="s">
        <v>82</v>
      </c>
      <c r="B26" s="67" t="s">
        <v>106</v>
      </c>
      <c r="C26" s="67"/>
      <c r="D26" s="68">
        <v>8.5682261418849723</v>
      </c>
      <c r="E26" s="68">
        <v>2.4460782549807605</v>
      </c>
      <c r="F26" s="68">
        <v>3.8643336614445487</v>
      </c>
      <c r="G26" s="68">
        <v>2.4631127128410215</v>
      </c>
      <c r="H26" s="68">
        <v>2.4631127128410215</v>
      </c>
      <c r="I26" s="68">
        <v>0.14262949621172474</v>
      </c>
      <c r="J26" s="68">
        <v>26.120089615714981</v>
      </c>
      <c r="K26" s="69">
        <v>49370.461052006911</v>
      </c>
      <c r="L26" s="69"/>
      <c r="M26" s="69"/>
      <c r="N26" s="68">
        <v>7.6983418399581849</v>
      </c>
      <c r="O26" s="68">
        <v>2.281000138280834</v>
      </c>
      <c r="P26" s="68">
        <v>3.5706463688614405</v>
      </c>
      <c r="Q26" s="68">
        <v>2.1853961420058607</v>
      </c>
      <c r="R26" s="68">
        <v>2.1853961420058607</v>
      </c>
      <c r="S26" s="68">
        <v>0.1310544963139717</v>
      </c>
      <c r="T26" s="68">
        <v>22.974002191125901</v>
      </c>
      <c r="U26" s="69">
        <v>45946.05604939648</v>
      </c>
    </row>
  </sheetData>
  <sheetProtection algorithmName="SHA-512" hashValue="WuTLj1nnrJzD5lCJlS1SEaQEpkbLKAgZ0IWOshacCT3qBtHlq439cHrCuEopYo8+41VJqklQaMjPZcqRocY2hQ==" saltValue="CCuPKuTyM6O7bKvDNIiuDw==" spinCount="100000" sheet="1" objects="1" scenarios="1"/>
  <mergeCells count="8">
    <mergeCell ref="A1:W1"/>
    <mergeCell ref="A2:W2"/>
    <mergeCell ref="D3:K3"/>
    <mergeCell ref="N3:U3"/>
    <mergeCell ref="D4:J4"/>
    <mergeCell ref="K4:L4"/>
    <mergeCell ref="N4:T4"/>
    <mergeCell ref="U4:V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Measure70_Option1</vt:lpstr>
      <vt:lpstr>Measure70_Option2</vt:lpstr>
      <vt:lpstr>WasteOilUse</vt:lpstr>
      <vt:lpstr>2020EpEmissions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Suriya Vallamsundar</dc:creator>
  <cp:lastModifiedBy>Alimi, Adeyemi S (DEC)</cp:lastModifiedBy>
  <dcterms:created xsi:type="dcterms:W3CDTF">2022-11-10T23:08:33Z</dcterms:created>
  <dcterms:modified xsi:type="dcterms:W3CDTF">2024-08-21T00:22:54Z</dcterms:modified>
</cp:coreProperties>
</file>