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filterPrivacy="1"/>
  <xr:revisionPtr revIDLastSave="0" documentId="13_ncr:1_{472F8C7D-716D-4C7A-8B6B-468EF81D0299}" xr6:coauthVersionLast="47" xr6:coauthVersionMax="47" xr10:uidLastSave="{00000000-0000-0000-0000-000000000000}"/>
  <bookViews>
    <workbookView xWindow="-120" yWindow="-120" windowWidth="29040" windowHeight="15840" activeTab="1" xr2:uid="{00000000-000D-0000-FFFF-FFFF00000000}"/>
  </bookViews>
  <sheets>
    <sheet name="Total Capital Investment" sheetId="1" r:id="rId1"/>
    <sheet name="Cost Effectiveness" sheetId="2" r:id="rId2"/>
  </sheets>
  <definedNames>
    <definedName name="_Hlk115168373" localSheetId="0">'Total Capital Investment'!$M$60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8" i="2" l="1"/>
  <c r="K30" i="1"/>
  <c r="K31" i="1"/>
  <c r="K33" i="1"/>
  <c r="K29" i="1"/>
  <c r="K16" i="1"/>
  <c r="K25" i="1"/>
  <c r="E21" i="1"/>
  <c r="K22" i="1" s="1"/>
  <c r="G11" i="1" l="1"/>
  <c r="E15" i="2" l="1"/>
  <c r="E14" i="2"/>
  <c r="G18" i="1" l="1"/>
  <c r="K19" i="1" s="1"/>
  <c r="G12" i="1"/>
  <c r="K13" i="1" s="1"/>
  <c r="G32" i="1" l="1"/>
  <c r="K32" i="1" s="1"/>
  <c r="E10" i="2" l="1"/>
  <c r="E8" i="2"/>
  <c r="E13" i="2" l="1"/>
  <c r="I42" i="1" l="1"/>
  <c r="H15" i="2"/>
  <c r="K15" i="2" s="1"/>
  <c r="H14" i="2" l="1"/>
  <c r="I10" i="2" l="1"/>
  <c r="G11" i="2" s="1"/>
  <c r="H11" i="2" s="1"/>
  <c r="I8" i="2"/>
  <c r="E22" i="2"/>
  <c r="K11" i="2" l="1"/>
  <c r="K14" i="2"/>
  <c r="K10" i="2"/>
  <c r="K9" i="2"/>
  <c r="K8" i="2"/>
  <c r="H13" i="2"/>
  <c r="K13" i="2" s="1"/>
  <c r="K17" i="2" l="1"/>
  <c r="K34" i="1" l="1"/>
  <c r="K26" i="1"/>
  <c r="K37" i="1" l="1"/>
  <c r="I41" i="1" l="1"/>
  <c r="K43" i="1" s="1"/>
  <c r="I47" i="1"/>
  <c r="K48" i="1" s="1"/>
  <c r="K51" i="1" l="1"/>
  <c r="K23" i="2" s="1"/>
  <c r="I21" i="2" l="1"/>
  <c r="K21" i="2" s="1"/>
  <c r="I20" i="2"/>
  <c r="K20" i="2" s="1"/>
  <c r="K25" i="2" l="1"/>
  <c r="K27" i="2" s="1"/>
</calcChain>
</file>

<file path=xl/sharedStrings.xml><?xml version="1.0" encoding="utf-8"?>
<sst xmlns="http://schemas.openxmlformats.org/spreadsheetml/2006/main" count="236" uniqueCount="169">
  <si>
    <t>DIRECT COSTS</t>
  </si>
  <si>
    <t>Purchased equipment and material costs</t>
  </si>
  <si>
    <t>Basic equipment</t>
  </si>
  <si>
    <t>Freight</t>
  </si>
  <si>
    <t>(a)</t>
  </si>
  <si>
    <t>(b)</t>
  </si>
  <si>
    <t>(c)</t>
  </si>
  <si>
    <t>(d)</t>
  </si>
  <si>
    <t>(1)</t>
  </si>
  <si>
    <t>(2)</t>
  </si>
  <si>
    <t>Direct Installation Costs</t>
  </si>
  <si>
    <t>Concrete</t>
  </si>
  <si>
    <t>Structural steel</t>
  </si>
  <si>
    <t>Electrical</t>
  </si>
  <si>
    <t>Abovegrade piping</t>
  </si>
  <si>
    <t>Total Direct Costs (TDC)</t>
  </si>
  <si>
    <t>INDIRECT COSTS</t>
  </si>
  <si>
    <t>(3)</t>
  </si>
  <si>
    <t>Engineering, Procurement &amp; Construction Support Services</t>
  </si>
  <si>
    <t>(4)</t>
  </si>
  <si>
    <t>Performance tests</t>
  </si>
  <si>
    <t>Total Indirect Costs (TIC)</t>
  </si>
  <si>
    <t>MANAGEMENT AND CONTINGENCY COSTS</t>
  </si>
  <si>
    <t>(5)</t>
  </si>
  <si>
    <t>Contingency</t>
  </si>
  <si>
    <t>(6)</t>
  </si>
  <si>
    <t>Total Management and Contingency Costs (TM&amp;CC)</t>
  </si>
  <si>
    <t>TOTAL CAPITAL INVESTMENT (TCI)</t>
  </si>
  <si>
    <t>DIRECT ANNUAL COSTS</t>
  </si>
  <si>
    <t>Operating Labor</t>
  </si>
  <si>
    <t>Supervisory Labor</t>
  </si>
  <si>
    <t>Maintenance Labor</t>
  </si>
  <si>
    <t>Utilities</t>
  </si>
  <si>
    <t>Electricity:</t>
  </si>
  <si>
    <t>Total Direct Annual Costs (TDAC)</t>
  </si>
  <si>
    <t>INDIRECT ANNUAL COSTS</t>
  </si>
  <si>
    <t>Overhead</t>
  </si>
  <si>
    <t>Capital Recovery</t>
  </si>
  <si>
    <t>(8)</t>
  </si>
  <si>
    <t>Total Indirect Annual Costs (TIAC)</t>
  </si>
  <si>
    <t>Capital Costs</t>
  </si>
  <si>
    <t>Instrumentation</t>
  </si>
  <si>
    <t>Purchased Equipment and Material Cost (PEMC)</t>
  </si>
  <si>
    <t>Annualized Costs</t>
  </si>
  <si>
    <t>TOTAL ANNUALIZED COSTS (TAC)</t>
  </si>
  <si>
    <t>Date:</t>
  </si>
  <si>
    <t>Prepared By:</t>
  </si>
  <si>
    <t>Rev:</t>
  </si>
  <si>
    <t>QTY</t>
  </si>
  <si>
    <t>UNIT</t>
  </si>
  <si>
    <t>UNIT COST</t>
  </si>
  <si>
    <t xml:space="preserve">TM &amp; CC   =   </t>
  </si>
  <si>
    <t xml:space="preserve">TCI  =  (TDC)+(TIC)+(TM&amp;CC)  = </t>
  </si>
  <si>
    <t xml:space="preserve">CRF * TCI  = </t>
  </si>
  <si>
    <t xml:space="preserve"> TDAC   =</t>
  </si>
  <si>
    <t xml:space="preserve"> TIAC   =</t>
  </si>
  <si>
    <t>TAC = (TDAC) + (TIAC)  =</t>
  </si>
  <si>
    <t xml:space="preserve"> PEMC   =</t>
  </si>
  <si>
    <t xml:space="preserve"> DIC   =</t>
  </si>
  <si>
    <t>TDC = (PEMC) + (DIC)  =</t>
  </si>
  <si>
    <t>TIC   =</t>
  </si>
  <si>
    <t xml:space="preserve"> TOTAL LABOR COST</t>
  </si>
  <si>
    <t xml:space="preserve"> TOTAL MATERIALS COST</t>
  </si>
  <si>
    <t>EA</t>
  </si>
  <si>
    <t>TOTAL =</t>
  </si>
  <si>
    <t>Total Instrumentation</t>
  </si>
  <si>
    <t>Days</t>
  </si>
  <si>
    <t>TON</t>
  </si>
  <si>
    <t>LOT</t>
  </si>
  <si>
    <t>MH</t>
  </si>
  <si>
    <t>% TDC</t>
  </si>
  <si>
    <t xml:space="preserve">Project: </t>
  </si>
  <si>
    <t xml:space="preserve">Project:  </t>
  </si>
  <si>
    <t>%</t>
  </si>
  <si>
    <t>years</t>
  </si>
  <si>
    <t>Maintenance Materials</t>
  </si>
  <si>
    <t>TOTAL</t>
  </si>
  <si>
    <t>Shaded cells indicate user inputs.</t>
  </si>
  <si>
    <t>Shaded cells indicate user inputs</t>
  </si>
  <si>
    <t>Capital Recovery Factor [see inputs below]</t>
  </si>
  <si>
    <t>Data Inputs for Capital Recovery Factor:</t>
  </si>
  <si>
    <t>(e)</t>
  </si>
  <si>
    <t>All above costs included in vendor scope.</t>
  </si>
  <si>
    <t>Excluded</t>
  </si>
  <si>
    <t xml:space="preserve">Annual Interest Rate (EPA OAQPS Control Cost Manual)  </t>
  </si>
  <si>
    <t xml:space="preserve">Project Life (EPA OAQPS Control Cost Manual) </t>
  </si>
  <si>
    <t>% total capital</t>
  </si>
  <si>
    <t>UAF - BACT Analysis</t>
  </si>
  <si>
    <t>M. Jahn</t>
  </si>
  <si>
    <t>Direct Installation Costs (DIC) - Guess at new building, foundation, piping, electrical, etc.</t>
  </si>
  <si>
    <t>Water:</t>
  </si>
  <si>
    <t xml:space="preserve">Vendor: </t>
  </si>
  <si>
    <t>BACT Process Systems, Inc.</t>
  </si>
  <si>
    <t>Total Capital Investment - DSI (Dry Sorbent Injection)</t>
  </si>
  <si>
    <t>Total DSI System</t>
  </si>
  <si>
    <t>Hydrated Lime:</t>
  </si>
  <si>
    <t>Line Number 3</t>
  </si>
  <si>
    <t>Line Number 4</t>
  </si>
  <si>
    <t>Maintenance Material</t>
  </si>
  <si>
    <t>Hydrated Lime</t>
  </si>
  <si>
    <t>Electricity</t>
  </si>
  <si>
    <t>Admin Charges, etc</t>
  </si>
  <si>
    <t>Annual Interest Rate</t>
  </si>
  <si>
    <t>Project Life</t>
  </si>
  <si>
    <t>Calculated as percent of Total Capital Investment</t>
  </si>
  <si>
    <t>Capital Recovery Factor</t>
  </si>
  <si>
    <t>EPA calculated factor using Interest Rate and Project Life Span</t>
  </si>
  <si>
    <t>Project Life expectancy in years.</t>
  </si>
  <si>
    <t>Capital Recovery Factor times Total Capital Investment.</t>
  </si>
  <si>
    <t>DSI System</t>
  </si>
  <si>
    <t>ID Fan</t>
  </si>
  <si>
    <t>ID Fan Freight</t>
  </si>
  <si>
    <t>Site Vibro Compaction (DSI Unloading Building/Storage Silo)</t>
  </si>
  <si>
    <t>(k)Gallons</t>
  </si>
  <si>
    <t>Line Number 1 and 3</t>
  </si>
  <si>
    <t>Line Number 5b</t>
  </si>
  <si>
    <t>Line Number 5c</t>
  </si>
  <si>
    <t>Line Number 6</t>
  </si>
  <si>
    <t>Line Number 7a</t>
  </si>
  <si>
    <t>Line Number 7b</t>
  </si>
  <si>
    <t>Line Number 8</t>
  </si>
  <si>
    <t>Operating/Maintenance Labor</t>
  </si>
  <si>
    <t>Water</t>
  </si>
  <si>
    <t>Line Number 5a</t>
  </si>
  <si>
    <t>Hydrated Lime consumption rates provided by DSI vendor. Hydrated Lime costs provided by L'hoist.</t>
  </si>
  <si>
    <t>Pricing provided by UAF for published utility rates on campus. Electical consumption rate provided by DSI vendor. Additional consumption by larger ID Fan was also included.</t>
  </si>
  <si>
    <t>Pricing provided by UAF for published utility rates on campus. Water consumption rate provided by DSI vendor.</t>
  </si>
  <si>
    <t>Title</t>
  </si>
  <si>
    <t>Comment</t>
  </si>
  <si>
    <t>Line Number 1a</t>
  </si>
  <si>
    <t>Line Number 1b</t>
  </si>
  <si>
    <t>Line Number 1c</t>
  </si>
  <si>
    <t>ID Fan Shipping Costs</t>
  </si>
  <si>
    <t>Direct Install Costs</t>
  </si>
  <si>
    <t>Engineering Services</t>
  </si>
  <si>
    <t>Performance Test</t>
  </si>
  <si>
    <t>Construction Contingency</t>
  </si>
  <si>
    <t>DSI price provided by OEM Vendor. Cost includes equipment supply and installation costs. Installation costs of vendor supplied equipment was assumed to be 25% of equipment cost.</t>
  </si>
  <si>
    <t>Total costs for new communication links and I/O integration into existing DCS room.</t>
  </si>
  <si>
    <t>Costs broken down into individual disciplines for balance of plant equipment, materials and labor for the DSI System. Cost estimate basis for each discipline are provided as attachments.</t>
  </si>
  <si>
    <t>Costs for a 3rd party performance testing company to validate emissions and performance guarantees by DSI vendor during operation</t>
  </si>
  <si>
    <t>Provided by UAF. Rate is burdoned rate for level of personnel operating and performing maintenance on this type of equipment. Additional FT operations person is assumed per shift. Four total shifts per week. Quarter FT maintenance persons is assumed for the new DSI system.</t>
  </si>
  <si>
    <t>Extended Outage Costs</t>
  </si>
  <si>
    <t>Administrative Charges, Insurance</t>
  </si>
  <si>
    <t>Latest federal prime rate. https://www.federalreserve.gov/releases/h15/</t>
  </si>
  <si>
    <t>Line Number/Description</t>
  </si>
  <si>
    <t>Pricing provided by Clarage for new ID Fan for CDS system. Fan pricing was scaled from 1250 HP to 950 HP. Fan shipping is provided in line number 1c.</t>
  </si>
  <si>
    <t>Costs to ship ID fan to site. CDS pricing was used and scaled from 1250 HP to 950 HP.</t>
  </si>
  <si>
    <t>Line Number 5</t>
  </si>
  <si>
    <t>Line Number 2a thru 2e</t>
  </si>
  <si>
    <t>Line Number 1d</t>
  </si>
  <si>
    <t>Line Number 1e</t>
  </si>
  <si>
    <t>Additional days beyond a typical 3 week outage</t>
  </si>
  <si>
    <t>Vendor Representative Costs</t>
  </si>
  <si>
    <t>Vendor representatives Costs</t>
  </si>
  <si>
    <t>Onsite Vendor Representatives Costs (enter no. of days and daily rate)</t>
  </si>
  <si>
    <t>Costs incurred for OEM to send a Field Technician to the field to confirm installation and provide technical guidance if needed. Cost per day includes hourly burdened rate for employee daily allowances and travel expenses.</t>
  </si>
  <si>
    <t>kWh</t>
  </si>
  <si>
    <t>Costs for Preliminary Engineering costs to assist the University in soliciting bidders with specifications, preliminary drawings and procurement support for the AQCS system. Additional services include home office support for shop drawing review and occasional site support during construction for potential issues. Engineering is a percentage of the Total Direct Costs of the Project.</t>
  </si>
  <si>
    <t>Construction Contingency is an allottment for additonal or unexpected costs during the project. RS Means defines contingency allowances and ranges between 3-20% depending on what design stage the project is in. A 10% contingency is a project that is in Design Development, wheras a Conceptual Design phase allows for a 20% contingency. A 10% contingency for this cost estimate is considered low as the project is still in a Development phase.</t>
  </si>
  <si>
    <t>Allotment for maintenance materials. Item is equal to the maintenance labor allotment in line 3.</t>
  </si>
  <si>
    <t>(7a)</t>
  </si>
  <si>
    <t>(7b)</t>
  </si>
  <si>
    <t>Total Annualized Costs - DSI (Dry Sorbent Injection)</t>
  </si>
  <si>
    <t>Updated By:</t>
  </si>
  <si>
    <t>C. Kimball</t>
  </si>
  <si>
    <t>B</t>
  </si>
  <si>
    <t>UAF typically schedules for a 3 week outage on Boiler #5. A DSI outage will take 8 weeks and the University will incur 5 additional weeks of outage costs that inlcude purchasing electric power and running additional boilers for steam generation. Costs per day were provided by UAF personnel. The daily outage cost calculations are presented in the last section of Appendix H beginning on page H-74.</t>
  </si>
  <si>
    <t>Cost per ton of SO2 removed ($/ton)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</si>
</sst>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4" formatCode="_(&quot;$&quot;* #,##0.00_);_(&quot;$&quot;* \(#,##0.00\);_(&quot;$&quot;* &quot;-&quot;??_);_(@_)"/>
    <numFmt numFmtId="43" formatCode="_(* #,##0.00_);_(* \(#,##0.00\);_(* &quot;-&quot;??_);_(@_)"/>
    <numFmt numFmtId="164" formatCode="0.0000"/>
    <numFmt numFmtId="165" formatCode="_(&quot;$&quot;* #,##0_);_(&quot;$&quot;* \(#,##0\);_(&quot;$&quot;* &quot;-&quot;??_);_(@_)"/>
    <numFmt numFmtId="166" formatCode="_(* #,##0_);_(* \(#,##0\);_(* &quot;-&quot;??_);_(@_)"/>
    <numFmt numFmtId="167" formatCode="_(* #,##0.000_);_(* \(#,##0.000\);_(* &quot;-&quot;??_);_(@_)"/>
  </numFmts>
  <fonts count="19"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1"/>
      <color rgb="FF0070C0"/>
      <name val="Calibri"/>
      <family val="2"/>
      <scheme val="minor"/>
    </font>
    <font>
      <b/>
      <sz val="12"/>
      <color rgb="FF0070C0"/>
      <name val="Calibri"/>
      <family val="2"/>
      <scheme val="minor"/>
    </font>
    <font>
      <sz val="11"/>
      <color theme="1"/>
      <name val="Calibri"/>
      <family val="2"/>
      <scheme val="minor"/>
    </font>
    <font>
      <b/>
      <sz val="11"/>
      <name val="Calibri"/>
      <family val="2"/>
      <scheme val="minor"/>
    </font>
    <font>
      <sz val="11"/>
      <name val="Calibri"/>
      <family val="2"/>
      <scheme val="minor"/>
    </font>
    <font>
      <sz val="11"/>
      <color rgb="FF0070C0"/>
      <name val="Calibri"/>
      <family val="2"/>
      <scheme val="minor"/>
    </font>
    <font>
      <sz val="14"/>
      <color theme="1"/>
      <name val="Calibri"/>
      <family val="2"/>
      <scheme val="minor"/>
    </font>
    <font>
      <sz val="12"/>
      <color theme="1"/>
      <name val="Calibri"/>
      <family val="2"/>
      <scheme val="minor"/>
    </font>
    <font>
      <b/>
      <sz val="12"/>
      <name val="Calibri"/>
      <family val="2"/>
      <scheme val="minor"/>
    </font>
    <font>
      <b/>
      <i/>
      <sz val="12"/>
      <color rgb="FF0070C0"/>
      <name val="Calibri"/>
      <family val="2"/>
      <scheme val="minor"/>
    </font>
    <font>
      <sz val="12"/>
      <color rgb="FF0070C0"/>
      <name val="Calibri"/>
      <family val="2"/>
      <scheme val="minor"/>
    </font>
    <font>
      <b/>
      <sz val="14"/>
      <color rgb="FF0070C0"/>
      <name val="Calibri"/>
      <family val="2"/>
      <scheme val="minor"/>
    </font>
    <font>
      <sz val="14"/>
      <color rgb="FF0070C0"/>
      <name val="Calibri"/>
      <family val="2"/>
      <scheme val="minor"/>
    </font>
    <font>
      <b/>
      <sz val="11"/>
      <color rgb="FFFF0000"/>
      <name val="Calibri"/>
      <family val="2"/>
      <scheme val="minor"/>
    </font>
    <font>
      <b/>
      <sz val="11"/>
      <color theme="8" tint="-0.249977111117893"/>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2" tint="-9.9978637043366805E-2"/>
        <bgColor indexed="64"/>
      </patternFill>
    </fill>
  </fills>
  <borders count="44">
    <border>
      <left/>
      <right/>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style="thin">
        <color indexed="64"/>
      </right>
      <top style="thin">
        <color indexed="64"/>
      </top>
      <bottom style="thin">
        <color indexed="64"/>
      </bottom>
      <diagonal/>
    </border>
    <border>
      <left style="thick">
        <color auto="1"/>
      </left>
      <right/>
      <top style="thin">
        <color auto="1"/>
      </top>
      <bottom style="thin">
        <color auto="1"/>
      </bottom>
      <diagonal/>
    </border>
    <border>
      <left style="thick">
        <color auto="1"/>
      </left>
      <right/>
      <top/>
      <bottom style="double">
        <color indexed="64"/>
      </bottom>
      <diagonal/>
    </border>
    <border>
      <left/>
      <right/>
      <top/>
      <bottom style="double">
        <color indexed="64"/>
      </bottom>
      <diagonal/>
    </border>
    <border>
      <left/>
      <right/>
      <top style="thin">
        <color indexed="64"/>
      </top>
      <bottom style="thin">
        <color indexed="64"/>
      </bottom>
      <diagonal/>
    </border>
    <border>
      <left/>
      <right/>
      <top/>
      <bottom style="thin">
        <color indexed="64"/>
      </bottom>
      <diagonal/>
    </border>
    <border>
      <left/>
      <right style="thick">
        <color auto="1"/>
      </right>
      <top style="thin">
        <color auto="1"/>
      </top>
      <bottom style="thin">
        <color auto="1"/>
      </bottom>
      <diagonal/>
    </border>
    <border>
      <left style="thick">
        <color auto="1"/>
      </left>
      <right/>
      <top style="double">
        <color indexed="64"/>
      </top>
      <bottom/>
      <diagonal/>
    </border>
    <border>
      <left/>
      <right/>
      <top style="double">
        <color indexed="64"/>
      </top>
      <bottom/>
      <diagonal/>
    </border>
    <border>
      <left/>
      <right style="thick">
        <color auto="1"/>
      </right>
      <top/>
      <bottom style="double">
        <color indexed="64"/>
      </bottom>
      <diagonal/>
    </border>
    <border>
      <left/>
      <right style="thick">
        <color auto="1"/>
      </right>
      <top style="double">
        <color indexed="64"/>
      </top>
      <bottom/>
      <diagonal/>
    </border>
    <border>
      <left/>
      <right/>
      <top/>
      <bottom style="medium">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style="medium">
        <color indexed="64"/>
      </bottom>
      <diagonal/>
    </border>
    <border>
      <left/>
      <right style="thick">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top style="thin">
        <color indexed="64"/>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9"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cellStyleXfs>
  <cellXfs count="174">
    <xf numFmtId="0" fontId="0" fillId="0" borderId="0" xfId="0"/>
    <xf numFmtId="0" fontId="2" fillId="0" borderId="1" xfId="0" applyFont="1" applyBorder="1"/>
    <xf numFmtId="0" fontId="1" fillId="0" borderId="0" xfId="0" applyFont="1"/>
    <xf numFmtId="0" fontId="0" fillId="0" borderId="2" xfId="0" applyBorder="1"/>
    <xf numFmtId="0" fontId="0" fillId="0" borderId="1" xfId="0" applyBorder="1"/>
    <xf numFmtId="0" fontId="1" fillId="0" borderId="1" xfId="0" applyFont="1" applyBorder="1"/>
    <xf numFmtId="49" fontId="0" fillId="0" borderId="0" xfId="0" applyNumberFormat="1" applyAlignment="1">
      <alignment horizontal="center"/>
    </xf>
    <xf numFmtId="49" fontId="2" fillId="0" borderId="1" xfId="0" applyNumberFormat="1" applyFont="1" applyBorder="1"/>
    <xf numFmtId="0" fontId="0" fillId="0" borderId="0" xfId="0" applyAlignment="1">
      <alignment horizontal="center"/>
    </xf>
    <xf numFmtId="0" fontId="0" fillId="0" borderId="0" xfId="0" applyAlignment="1">
      <alignment horizontal="right"/>
    </xf>
    <xf numFmtId="42" fontId="0" fillId="0" borderId="2" xfId="0" applyNumberFormat="1" applyBorder="1"/>
    <xf numFmtId="44" fontId="0" fillId="0" borderId="2" xfId="0" applyNumberFormat="1" applyBorder="1"/>
    <xf numFmtId="0" fontId="1" fillId="0" borderId="0" xfId="0" applyFont="1" applyAlignment="1">
      <alignment horizontal="center"/>
    </xf>
    <xf numFmtId="0" fontId="7" fillId="0" borderId="0" xfId="0" applyFont="1" applyAlignment="1">
      <alignment horizontal="center"/>
    </xf>
    <xf numFmtId="44" fontId="0" fillId="0" borderId="0" xfId="0" applyNumberFormat="1"/>
    <xf numFmtId="42" fontId="0" fillId="0" borderId="0" xfId="0" applyNumberFormat="1"/>
    <xf numFmtId="49" fontId="1" fillId="0" borderId="0" xfId="0" applyNumberFormat="1" applyFont="1" applyAlignment="1">
      <alignment horizontal="right"/>
    </xf>
    <xf numFmtId="42" fontId="1" fillId="0" borderId="2" xfId="0" applyNumberFormat="1" applyFont="1" applyBorder="1"/>
    <xf numFmtId="0" fontId="2" fillId="0" borderId="0" xfId="0" applyFont="1"/>
    <xf numFmtId="9" fontId="0" fillId="0" borderId="0" xfId="1" applyFont="1" applyBorder="1"/>
    <xf numFmtId="0" fontId="1" fillId="0" borderId="2" xfId="0" applyFont="1" applyBorder="1" applyAlignment="1">
      <alignment horizontal="center"/>
    </xf>
    <xf numFmtId="0" fontId="0" fillId="0" borderId="10" xfId="0" applyBorder="1"/>
    <xf numFmtId="0" fontId="0" fillId="0" borderId="11" xfId="0" applyBorder="1"/>
    <xf numFmtId="0" fontId="3" fillId="0" borderId="13" xfId="0" applyFont="1" applyBorder="1"/>
    <xf numFmtId="0" fontId="0" fillId="0" borderId="14" xfId="0" applyBorder="1"/>
    <xf numFmtId="0" fontId="1" fillId="0" borderId="14" xfId="0" applyFont="1" applyBorder="1" applyAlignment="1">
      <alignment horizontal="center"/>
    </xf>
    <xf numFmtId="0" fontId="7" fillId="0" borderId="14" xfId="0" applyFont="1" applyBorder="1" applyAlignment="1">
      <alignment horizontal="center"/>
    </xf>
    <xf numFmtId="0" fontId="0" fillId="0" borderId="16" xfId="0" applyBorder="1"/>
    <xf numFmtId="0" fontId="11" fillId="0" borderId="0" xfId="0" applyFont="1"/>
    <xf numFmtId="0" fontId="11" fillId="0" borderId="1" xfId="0" applyFont="1" applyBorder="1"/>
    <xf numFmtId="49" fontId="11" fillId="0" borderId="1" xfId="0" applyNumberFormat="1" applyFont="1" applyBorder="1"/>
    <xf numFmtId="0" fontId="7" fillId="0" borderId="1" xfId="0" applyFont="1" applyBorder="1"/>
    <xf numFmtId="0" fontId="7" fillId="0" borderId="0" xfId="0" applyFont="1"/>
    <xf numFmtId="0" fontId="8" fillId="0" borderId="0" xfId="0" applyFont="1"/>
    <xf numFmtId="0" fontId="8" fillId="0" borderId="0" xfId="0" applyFont="1" applyAlignment="1">
      <alignment horizontal="center"/>
    </xf>
    <xf numFmtId="0" fontId="13" fillId="0" borderId="7" xfId="0" applyFont="1" applyBorder="1"/>
    <xf numFmtId="0" fontId="11" fillId="0" borderId="10" xfId="0" applyFont="1" applyBorder="1"/>
    <xf numFmtId="0" fontId="0" fillId="0" borderId="10" xfId="0" applyBorder="1" applyAlignment="1">
      <alignment horizontal="center"/>
    </xf>
    <xf numFmtId="42" fontId="1" fillId="0" borderId="12" xfId="0" applyNumberFormat="1" applyFont="1" applyBorder="1"/>
    <xf numFmtId="0" fontId="2" fillId="0" borderId="10" xfId="0" applyFont="1" applyBorder="1"/>
    <xf numFmtId="0" fontId="1" fillId="0" borderId="10" xfId="0" applyFont="1" applyBorder="1" applyAlignment="1">
      <alignment horizontal="center"/>
    </xf>
    <xf numFmtId="0" fontId="1" fillId="0" borderId="10" xfId="0" applyFont="1" applyBorder="1"/>
    <xf numFmtId="0" fontId="5" fillId="0" borderId="10" xfId="0" applyFont="1" applyBorder="1"/>
    <xf numFmtId="0" fontId="13" fillId="0" borderId="10" xfId="0" applyFont="1" applyBorder="1"/>
    <xf numFmtId="0" fontId="4" fillId="0" borderId="10" xfId="0" applyFont="1" applyBorder="1"/>
    <xf numFmtId="0" fontId="15" fillId="0" borderId="3" xfId="0" applyFont="1" applyBorder="1"/>
    <xf numFmtId="0" fontId="16" fillId="0" borderId="4" xfId="0" applyFont="1" applyBorder="1"/>
    <xf numFmtId="0" fontId="15" fillId="0" borderId="4" xfId="0" applyFont="1" applyBorder="1"/>
    <xf numFmtId="0" fontId="0" fillId="0" borderId="17" xfId="0" applyBorder="1"/>
    <xf numFmtId="0" fontId="0" fillId="0" borderId="17" xfId="0" applyBorder="1" applyAlignment="1">
      <alignment horizontal="right"/>
    </xf>
    <xf numFmtId="0" fontId="3" fillId="0" borderId="18" xfId="0" applyFont="1" applyBorder="1"/>
    <xf numFmtId="0" fontId="10" fillId="0" borderId="19" xfId="0" applyFont="1" applyBorder="1"/>
    <xf numFmtId="0" fontId="0" fillId="0" borderId="19" xfId="0" applyBorder="1"/>
    <xf numFmtId="0" fontId="0" fillId="0" borderId="20" xfId="0" applyBorder="1"/>
    <xf numFmtId="0" fontId="0" fillId="3" borderId="6" xfId="0" applyFill="1" applyBorder="1" applyAlignment="1">
      <alignment horizontal="center"/>
    </xf>
    <xf numFmtId="0" fontId="1" fillId="0" borderId="22" xfId="0" applyFont="1" applyBorder="1" applyAlignment="1">
      <alignment horizontal="left"/>
    </xf>
    <xf numFmtId="0" fontId="0" fillId="0" borderId="23" xfId="0" applyBorder="1"/>
    <xf numFmtId="0" fontId="1" fillId="0" borderId="24" xfId="0" applyFont="1" applyBorder="1" applyAlignment="1">
      <alignment horizontal="center"/>
    </xf>
    <xf numFmtId="0" fontId="0" fillId="0" borderId="25" xfId="0" applyBorder="1"/>
    <xf numFmtId="0" fontId="0" fillId="0" borderId="26" xfId="0" applyBorder="1"/>
    <xf numFmtId="0" fontId="0" fillId="0" borderId="27" xfId="0" applyBorder="1"/>
    <xf numFmtId="0" fontId="0" fillId="0" borderId="28" xfId="0" applyBorder="1"/>
    <xf numFmtId="0" fontId="2" fillId="0" borderId="23" xfId="0" applyFont="1" applyBorder="1"/>
    <xf numFmtId="0" fontId="1" fillId="0" borderId="23" xfId="0" applyFont="1" applyBorder="1" applyAlignment="1">
      <alignment horizontal="center"/>
    </xf>
    <xf numFmtId="0" fontId="7" fillId="0" borderId="23" xfId="0" applyFont="1" applyBorder="1" applyAlignment="1">
      <alignment horizontal="center"/>
    </xf>
    <xf numFmtId="0" fontId="17" fillId="0" borderId="0" xfId="0" applyFont="1"/>
    <xf numFmtId="44" fontId="0" fillId="0" borderId="0" xfId="0" applyNumberFormat="1" applyAlignment="1">
      <alignment horizontal="right"/>
    </xf>
    <xf numFmtId="44" fontId="1" fillId="0" borderId="0" xfId="0" applyNumberFormat="1" applyFont="1" applyAlignment="1">
      <alignment horizontal="right"/>
    </xf>
    <xf numFmtId="44" fontId="5" fillId="0" borderId="10" xfId="0" applyNumberFormat="1" applyFont="1" applyBorder="1" applyAlignment="1">
      <alignment horizontal="right"/>
    </xf>
    <xf numFmtId="44" fontId="1" fillId="0" borderId="10" xfId="0" applyNumberFormat="1" applyFont="1" applyBorder="1"/>
    <xf numFmtId="44" fontId="0" fillId="0" borderId="0" xfId="0" applyNumberFormat="1" applyAlignment="1">
      <alignment horizontal="center"/>
    </xf>
    <xf numFmtId="44" fontId="4" fillId="0" borderId="10" xfId="0" applyNumberFormat="1" applyFont="1" applyBorder="1"/>
    <xf numFmtId="44" fontId="16" fillId="0" borderId="4" xfId="0" applyNumberFormat="1" applyFont="1" applyBorder="1"/>
    <xf numFmtId="44" fontId="14" fillId="0" borderId="4" xfId="0" applyNumberFormat="1" applyFont="1" applyBorder="1"/>
    <xf numFmtId="44" fontId="5" fillId="0" borderId="4" xfId="0" applyNumberFormat="1" applyFont="1" applyBorder="1" applyAlignment="1">
      <alignment horizontal="right"/>
    </xf>
    <xf numFmtId="42" fontId="8" fillId="0" borderId="0" xfId="0" applyNumberFormat="1" applyFont="1"/>
    <xf numFmtId="42" fontId="0" fillId="0" borderId="10" xfId="0" applyNumberFormat="1" applyBorder="1"/>
    <xf numFmtId="42" fontId="1" fillId="0" borderId="10" xfId="0" applyNumberFormat="1" applyFont="1" applyBorder="1"/>
    <xf numFmtId="44" fontId="0" fillId="3" borderId="6" xfId="0" applyNumberFormat="1" applyFill="1" applyBorder="1"/>
    <xf numFmtId="44" fontId="0" fillId="0" borderId="2" xfId="0" applyNumberFormat="1" applyBorder="1" applyAlignment="1">
      <alignment horizontal="right"/>
    </xf>
    <xf numFmtId="2" fontId="0" fillId="3" borderId="6" xfId="0" applyNumberFormat="1" applyFill="1" applyBorder="1" applyAlignment="1">
      <alignment horizontal="center"/>
    </xf>
    <xf numFmtId="0" fontId="0" fillId="3" borderId="29" xfId="0" applyFill="1" applyBorder="1" applyAlignment="1">
      <alignment horizontal="center"/>
    </xf>
    <xf numFmtId="9" fontId="0" fillId="3" borderId="6" xfId="1" applyFont="1" applyFill="1" applyBorder="1" applyAlignment="1">
      <alignment horizontal="center"/>
    </xf>
    <xf numFmtId="49" fontId="4" fillId="0" borderId="10" xfId="0" applyNumberFormat="1" applyFont="1" applyBorder="1"/>
    <xf numFmtId="0" fontId="0" fillId="0" borderId="10" xfId="0" applyBorder="1" applyAlignment="1">
      <alignment horizontal="left"/>
    </xf>
    <xf numFmtId="164" fontId="0" fillId="0" borderId="10" xfId="0" applyNumberFormat="1" applyBorder="1" applyAlignment="1">
      <alignment horizontal="center"/>
    </xf>
    <xf numFmtId="0" fontId="0" fillId="0" borderId="10" xfId="0" applyBorder="1" applyAlignment="1">
      <alignment horizontal="right"/>
    </xf>
    <xf numFmtId="42" fontId="0" fillId="0" borderId="10" xfId="0" applyNumberFormat="1" applyBorder="1" applyAlignment="1">
      <alignment horizontal="right"/>
    </xf>
    <xf numFmtId="42" fontId="9" fillId="0" borderId="10" xfId="0" applyNumberFormat="1" applyFont="1" applyBorder="1"/>
    <xf numFmtId="42" fontId="4" fillId="0" borderId="10" xfId="0" applyNumberFormat="1" applyFont="1" applyBorder="1" applyAlignment="1">
      <alignment horizontal="right"/>
    </xf>
    <xf numFmtId="0" fontId="9" fillId="0" borderId="10" xfId="0" applyFont="1" applyBorder="1"/>
    <xf numFmtId="0" fontId="9" fillId="0" borderId="10" xfId="0" applyFont="1" applyBorder="1" applyAlignment="1">
      <alignment horizontal="center"/>
    </xf>
    <xf numFmtId="9" fontId="0" fillId="3" borderId="6" xfId="1" applyFont="1" applyFill="1" applyBorder="1"/>
    <xf numFmtId="42" fontId="4" fillId="0" borderId="12" xfId="0" applyNumberFormat="1" applyFont="1" applyBorder="1"/>
    <xf numFmtId="42" fontId="15" fillId="0" borderId="5" xfId="0" applyNumberFormat="1" applyFont="1" applyBorder="1"/>
    <xf numFmtId="0" fontId="0" fillId="0" borderId="2" xfId="0" applyBorder="1" applyAlignment="1">
      <alignment horizontal="right"/>
    </xf>
    <xf numFmtId="0" fontId="0" fillId="0" borderId="21" xfId="0" applyBorder="1" applyAlignment="1">
      <alignment horizontal="right"/>
    </xf>
    <xf numFmtId="14" fontId="0" fillId="0" borderId="2" xfId="0" applyNumberFormat="1" applyBorder="1"/>
    <xf numFmtId="3" fontId="0" fillId="3" borderId="6" xfId="0" applyNumberFormat="1" applyFill="1" applyBorder="1" applyAlignment="1">
      <alignment horizontal="center"/>
    </xf>
    <xf numFmtId="166" fontId="0" fillId="3" borderId="6" xfId="2" applyNumberFormat="1" applyFont="1" applyFill="1" applyBorder="1" applyAlignment="1">
      <alignment horizontal="center"/>
    </xf>
    <xf numFmtId="9" fontId="0" fillId="3" borderId="6" xfId="0" applyNumberFormat="1" applyFill="1" applyBorder="1" applyAlignment="1">
      <alignment horizontal="center"/>
    </xf>
    <xf numFmtId="165" fontId="0" fillId="3" borderId="6" xfId="3" applyNumberFormat="1" applyFont="1" applyFill="1" applyBorder="1" applyAlignment="1">
      <alignment horizontal="center"/>
    </xf>
    <xf numFmtId="0" fontId="18" fillId="4" borderId="6" xfId="0" applyFont="1" applyFill="1" applyBorder="1" applyAlignment="1">
      <alignment horizontal="center"/>
    </xf>
    <xf numFmtId="0" fontId="18" fillId="0" borderId="0" xfId="0" applyFont="1"/>
    <xf numFmtId="0" fontId="0" fillId="0" borderId="0" xfId="0" applyAlignment="1">
      <alignment wrapText="1"/>
    </xf>
    <xf numFmtId="0" fontId="0" fillId="0" borderId="31" xfId="0" applyBorder="1" applyAlignment="1">
      <alignment horizontal="center"/>
    </xf>
    <xf numFmtId="0" fontId="0" fillId="0" borderId="31" xfId="0" applyBorder="1"/>
    <xf numFmtId="0" fontId="0" fillId="0" borderId="31" xfId="0" applyBorder="1" applyAlignment="1">
      <alignment wrapText="1"/>
    </xf>
    <xf numFmtId="0" fontId="0" fillId="0" borderId="0" xfId="0" applyAlignment="1">
      <alignment vertical="center" wrapText="1"/>
    </xf>
    <xf numFmtId="43" fontId="0" fillId="3" borderId="6" xfId="2" applyFont="1" applyFill="1" applyBorder="1" applyAlignment="1">
      <alignment horizontal="center"/>
    </xf>
    <xf numFmtId="43" fontId="0" fillId="0" borderId="0" xfId="2" applyFont="1" applyBorder="1" applyAlignment="1">
      <alignment horizontal="center"/>
    </xf>
    <xf numFmtId="43" fontId="0" fillId="0" borderId="0" xfId="2" applyFont="1" applyBorder="1"/>
    <xf numFmtId="167" fontId="0" fillId="3" borderId="6" xfId="2" applyNumberFormat="1" applyFont="1" applyFill="1" applyBorder="1" applyAlignment="1">
      <alignment horizontal="center"/>
    </xf>
    <xf numFmtId="0" fontId="0" fillId="0" borderId="6" xfId="0" applyBorder="1" applyAlignment="1">
      <alignment horizontal="center" vertical="center"/>
    </xf>
    <xf numFmtId="0" fontId="3" fillId="0" borderId="22" xfId="0" applyFont="1" applyBorder="1"/>
    <xf numFmtId="0" fontId="3" fillId="0" borderId="23" xfId="0" applyFont="1" applyBorder="1"/>
    <xf numFmtId="0" fontId="0" fillId="0" borderId="23" xfId="0" applyBorder="1" applyAlignment="1">
      <alignment horizontal="right"/>
    </xf>
    <xf numFmtId="14" fontId="0" fillId="0" borderId="24" xfId="0" applyNumberFormat="1" applyBorder="1" applyAlignment="1">
      <alignment horizontal="right"/>
    </xf>
    <xf numFmtId="0" fontId="0" fillId="0" borderId="26" xfId="0" applyBorder="1" applyAlignment="1">
      <alignment horizontal="right"/>
    </xf>
    <xf numFmtId="0" fontId="0" fillId="0" borderId="28" xfId="0" applyBorder="1" applyAlignment="1">
      <alignment horizontal="right"/>
    </xf>
    <xf numFmtId="0" fontId="2" fillId="0" borderId="22" xfId="0" applyFont="1" applyBorder="1"/>
    <xf numFmtId="49" fontId="0" fillId="0" borderId="25" xfId="0" applyNumberFormat="1" applyBorder="1"/>
    <xf numFmtId="42" fontId="0" fillId="0" borderId="0" xfId="0" applyNumberFormat="1" applyAlignment="1">
      <alignment horizontal="right"/>
    </xf>
    <xf numFmtId="42" fontId="0" fillId="0" borderId="26" xfId="0" applyNumberFormat="1" applyBorder="1"/>
    <xf numFmtId="0" fontId="0" fillId="0" borderId="25" xfId="0" applyBorder="1" applyAlignment="1">
      <alignment horizontal="left"/>
    </xf>
    <xf numFmtId="49" fontId="4" fillId="0" borderId="0" xfId="0" applyNumberFormat="1" applyFont="1"/>
    <xf numFmtId="164" fontId="0" fillId="0" borderId="0" xfId="0" applyNumberFormat="1"/>
    <xf numFmtId="42" fontId="9" fillId="0" borderId="0" xfId="0" applyNumberFormat="1" applyFont="1"/>
    <xf numFmtId="49" fontId="4" fillId="0" borderId="36" xfId="0" applyNumberFormat="1" applyFont="1" applyBorder="1"/>
    <xf numFmtId="42" fontId="0" fillId="0" borderId="37" xfId="0" applyNumberFormat="1" applyBorder="1"/>
    <xf numFmtId="42" fontId="4" fillId="0" borderId="0" xfId="0" applyNumberFormat="1" applyFont="1" applyAlignment="1">
      <alignment horizontal="right"/>
    </xf>
    <xf numFmtId="0" fontId="2" fillId="0" borderId="25" xfId="0" applyFont="1" applyBorder="1"/>
    <xf numFmtId="0" fontId="0" fillId="0" borderId="26" xfId="0" applyBorder="1" applyAlignment="1">
      <alignment horizontal="center"/>
    </xf>
    <xf numFmtId="42" fontId="4" fillId="0" borderId="0" xfId="0" applyNumberFormat="1" applyFont="1"/>
    <xf numFmtId="42" fontId="7" fillId="0" borderId="0" xfId="0" applyNumberFormat="1" applyFont="1" applyAlignment="1">
      <alignment horizontal="right"/>
    </xf>
    <xf numFmtId="49" fontId="1" fillId="0" borderId="25" xfId="0" applyNumberFormat="1" applyFont="1" applyBorder="1"/>
    <xf numFmtId="49" fontId="1" fillId="0" borderId="0" xfId="0" applyNumberFormat="1" applyFont="1"/>
    <xf numFmtId="49" fontId="12" fillId="0" borderId="38" xfId="0" applyNumberFormat="1" applyFont="1" applyBorder="1"/>
    <xf numFmtId="49" fontId="12" fillId="0" borderId="39" xfId="0" applyNumberFormat="1" applyFont="1" applyBorder="1"/>
    <xf numFmtId="0" fontId="0" fillId="0" borderId="39" xfId="0" applyBorder="1"/>
    <xf numFmtId="0" fontId="0" fillId="0" borderId="39" xfId="0" applyBorder="1" applyAlignment="1">
      <alignment horizontal="center"/>
    </xf>
    <xf numFmtId="42" fontId="0" fillId="0" borderId="39" xfId="0" applyNumberFormat="1" applyBorder="1"/>
    <xf numFmtId="42" fontId="4" fillId="0" borderId="39" xfId="0" applyNumberFormat="1" applyFont="1" applyBorder="1"/>
    <xf numFmtId="42" fontId="4" fillId="0" borderId="39" xfId="0" applyNumberFormat="1" applyFont="1" applyBorder="1" applyAlignment="1">
      <alignment horizontal="right"/>
    </xf>
    <xf numFmtId="42" fontId="0" fillId="0" borderId="40" xfId="0" applyNumberFormat="1" applyBorder="1"/>
    <xf numFmtId="0" fontId="0" fillId="0" borderId="6" xfId="0" applyBorder="1" applyAlignment="1">
      <alignment horizontal="left" vertical="center" wrapText="1"/>
    </xf>
    <xf numFmtId="0" fontId="0" fillId="0" borderId="33" xfId="0" applyBorder="1" applyAlignment="1">
      <alignment horizontal="left" vertical="center" wrapText="1"/>
    </xf>
    <xf numFmtId="0" fontId="0" fillId="0" borderId="10" xfId="0" applyBorder="1" applyAlignment="1">
      <alignment horizontal="left" vertical="center" wrapText="1"/>
    </xf>
    <xf numFmtId="0" fontId="0" fillId="0" borderId="34" xfId="0" applyBorder="1" applyAlignment="1">
      <alignment horizontal="left" vertical="center" wrapText="1"/>
    </xf>
    <xf numFmtId="0" fontId="0" fillId="0" borderId="6" xfId="0"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5" xfId="0" applyFont="1" applyFill="1" applyBorder="1" applyAlignment="1">
      <alignment horizontal="center" vertical="center"/>
    </xf>
    <xf numFmtId="0" fontId="0" fillId="3" borderId="35" xfId="0" applyFill="1" applyBorder="1" applyAlignment="1">
      <alignment horizontal="center"/>
    </xf>
    <xf numFmtId="0" fontId="18" fillId="4" borderId="33" xfId="0" applyFont="1" applyFill="1" applyBorder="1" applyAlignment="1">
      <alignment horizontal="center"/>
    </xf>
    <xf numFmtId="0" fontId="18" fillId="4" borderId="34" xfId="0" applyFont="1" applyFill="1" applyBorder="1" applyAlignment="1">
      <alignment horizontal="center"/>
    </xf>
    <xf numFmtId="0" fontId="18" fillId="4" borderId="10" xfId="0" applyFont="1" applyFill="1" applyBorder="1" applyAlignment="1">
      <alignment horizontal="center"/>
    </xf>
    <xf numFmtId="0" fontId="0" fillId="0" borderId="33" xfId="0" applyBorder="1" applyAlignment="1">
      <alignment horizontal="center" vertical="center"/>
    </xf>
    <xf numFmtId="0" fontId="0" fillId="0" borderId="10" xfId="0" applyBorder="1" applyAlignment="1">
      <alignment horizontal="center" vertical="center"/>
    </xf>
    <xf numFmtId="0" fontId="0" fillId="0" borderId="34" xfId="0" applyBorder="1" applyAlignment="1">
      <alignment horizontal="center" vertical="center"/>
    </xf>
    <xf numFmtId="0" fontId="0" fillId="0" borderId="33" xfId="0" applyBorder="1" applyAlignment="1">
      <alignment horizontal="left" vertical="center"/>
    </xf>
    <xf numFmtId="0" fontId="0" fillId="0" borderId="10" xfId="0" applyBorder="1" applyAlignment="1">
      <alignment horizontal="left" vertical="center"/>
    </xf>
    <xf numFmtId="0" fontId="0" fillId="0" borderId="34" xfId="0" applyBorder="1" applyAlignment="1">
      <alignment horizontal="left" vertical="center"/>
    </xf>
    <xf numFmtId="0" fontId="0" fillId="0" borderId="6" xfId="0" applyBorder="1" applyAlignment="1">
      <alignment horizontal="center" vertical="center" wrapText="1"/>
    </xf>
    <xf numFmtId="0" fontId="2" fillId="2" borderId="25" xfId="0" applyFont="1" applyFill="1" applyBorder="1" applyAlignment="1">
      <alignment horizontal="center"/>
    </xf>
    <xf numFmtId="0" fontId="2" fillId="2" borderId="0" xfId="0" applyFont="1" applyFill="1" applyAlignment="1">
      <alignment horizontal="center"/>
    </xf>
    <xf numFmtId="0" fontId="2" fillId="2" borderId="26" xfId="0" applyFont="1" applyFill="1" applyBorder="1" applyAlignment="1">
      <alignment horizontal="center"/>
    </xf>
    <xf numFmtId="0" fontId="0" fillId="3" borderId="30" xfId="0" applyFill="1" applyBorder="1" applyAlignment="1">
      <alignment horizontal="right"/>
    </xf>
    <xf numFmtId="0" fontId="0" fillId="3" borderId="31" xfId="0" applyFill="1" applyBorder="1" applyAlignment="1">
      <alignment horizontal="right"/>
    </xf>
    <xf numFmtId="0" fontId="0" fillId="3" borderId="32" xfId="0" applyFill="1" applyBorder="1" applyAlignment="1">
      <alignment horizontal="right"/>
    </xf>
    <xf numFmtId="0" fontId="0" fillId="0" borderId="42" xfId="0" applyBorder="1"/>
    <xf numFmtId="44" fontId="0" fillId="0" borderId="43" xfId="0" applyNumberFormat="1" applyBorder="1"/>
    <xf numFmtId="0" fontId="1" fillId="0" borderId="41" xfId="0" applyFont="1" applyBorder="1"/>
    <xf numFmtId="0" fontId="1" fillId="0" borderId="42" xfId="0" applyFont="1" applyBorder="1"/>
  </cellXfs>
  <cellStyles count="4">
    <cellStyle name="Comma" xfId="2" builtinId="3"/>
    <cellStyle name="Currency" xfId="3" builtinId="4"/>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pageSetUpPr fitToPage="1"/>
  </sheetPr>
  <dimension ref="B1:M74"/>
  <sheetViews>
    <sheetView topLeftCell="B22" zoomScale="90" zoomScaleNormal="90" workbookViewId="0">
      <selection activeCell="N15" sqref="N15"/>
    </sheetView>
  </sheetViews>
  <sheetFormatPr defaultRowHeight="15" x14ac:dyDescent="0.25"/>
  <cols>
    <col min="1" max="1" width="2.28515625" customWidth="1"/>
    <col min="2" max="2" width="5.28515625" customWidth="1"/>
    <col min="3" max="3" width="6" customWidth="1"/>
    <col min="4" max="4" width="63.7109375" customWidth="1"/>
    <col min="6" max="6" width="19.28515625" customWidth="1"/>
    <col min="7" max="7" width="16.140625" bestFit="1" customWidth="1"/>
    <col min="8" max="8" width="24.140625" customWidth="1"/>
    <col min="9" max="9" width="20.42578125" customWidth="1"/>
    <col min="10" max="10" width="14.7109375" customWidth="1"/>
    <col min="11" max="11" width="17.28515625" customWidth="1"/>
    <col min="13" max="13" width="29.85546875" customWidth="1"/>
  </cols>
  <sheetData>
    <row r="1" spans="2:11" ht="15.75" thickBot="1" x14ac:dyDescent="0.3">
      <c r="J1" s="153" t="s">
        <v>77</v>
      </c>
      <c r="K1" s="153"/>
    </row>
    <row r="2" spans="2:11" ht="19.5" thickTop="1" x14ac:dyDescent="0.3">
      <c r="B2" s="50" t="s">
        <v>93</v>
      </c>
      <c r="C2" s="51"/>
      <c r="D2" s="51"/>
      <c r="E2" s="52"/>
      <c r="F2" s="52"/>
      <c r="G2" s="52"/>
      <c r="H2" s="52"/>
      <c r="I2" s="52"/>
      <c r="J2" s="9" t="s">
        <v>45</v>
      </c>
      <c r="K2" s="97">
        <v>44923</v>
      </c>
    </row>
    <row r="3" spans="2:11" x14ac:dyDescent="0.25">
      <c r="B3" s="4" t="s">
        <v>71</v>
      </c>
      <c r="D3" s="22" t="s">
        <v>87</v>
      </c>
      <c r="J3" s="9" t="s">
        <v>46</v>
      </c>
      <c r="K3" s="95" t="s">
        <v>88</v>
      </c>
    </row>
    <row r="4" spans="2:11" x14ac:dyDescent="0.25">
      <c r="B4" s="4" t="s">
        <v>91</v>
      </c>
      <c r="D4" t="s">
        <v>92</v>
      </c>
      <c r="J4" s="9" t="s">
        <v>164</v>
      </c>
      <c r="K4" s="95" t="s">
        <v>165</v>
      </c>
    </row>
    <row r="5" spans="2:11" ht="15.75" thickBot="1" x14ac:dyDescent="0.3">
      <c r="B5" s="53"/>
      <c r="C5" s="48"/>
      <c r="D5" s="48"/>
      <c r="E5" s="48"/>
      <c r="F5" s="48"/>
      <c r="G5" s="48"/>
      <c r="H5" s="48"/>
      <c r="I5" s="48"/>
      <c r="J5" s="49" t="s">
        <v>47</v>
      </c>
      <c r="K5" s="96" t="s">
        <v>166</v>
      </c>
    </row>
    <row r="6" spans="2:11" ht="36.75" customHeight="1" thickBot="1" x14ac:dyDescent="0.3">
      <c r="B6" s="150" t="s">
        <v>40</v>
      </c>
      <c r="C6" s="151"/>
      <c r="D6" s="151"/>
      <c r="E6" s="151"/>
      <c r="F6" s="151"/>
      <c r="G6" s="151"/>
      <c r="H6" s="151"/>
      <c r="I6" s="151"/>
      <c r="J6" s="151"/>
      <c r="K6" s="152"/>
    </row>
    <row r="7" spans="2:11" ht="19.5" thickTop="1" x14ac:dyDescent="0.3">
      <c r="B7" s="23" t="s">
        <v>0</v>
      </c>
      <c r="C7" s="24"/>
      <c r="D7" s="24"/>
      <c r="E7" s="25" t="s">
        <v>48</v>
      </c>
      <c r="F7" s="25" t="s">
        <v>49</v>
      </c>
      <c r="G7" s="26" t="s">
        <v>50</v>
      </c>
      <c r="H7" s="25" t="s">
        <v>62</v>
      </c>
      <c r="I7" s="25" t="s">
        <v>61</v>
      </c>
      <c r="J7" s="24"/>
      <c r="K7" s="27"/>
    </row>
    <row r="8" spans="2:11" ht="15.75" x14ac:dyDescent="0.25">
      <c r="B8" s="1"/>
      <c r="E8" s="12"/>
      <c r="F8" s="12"/>
      <c r="G8" s="13"/>
      <c r="H8" s="12"/>
      <c r="I8" s="12"/>
      <c r="K8" s="20"/>
    </row>
    <row r="9" spans="2:11" ht="15.75" x14ac:dyDescent="0.25">
      <c r="B9" s="7" t="s">
        <v>8</v>
      </c>
      <c r="C9" s="18" t="s">
        <v>1</v>
      </c>
      <c r="D9" s="18"/>
      <c r="J9" s="6"/>
      <c r="K9" s="3"/>
    </row>
    <row r="10" spans="2:11" ht="15.75" x14ac:dyDescent="0.25">
      <c r="B10" s="1"/>
      <c r="C10" s="18" t="s">
        <v>4</v>
      </c>
      <c r="D10" s="18" t="s">
        <v>2</v>
      </c>
      <c r="J10" s="16"/>
      <c r="K10" s="17"/>
    </row>
    <row r="11" spans="2:11" x14ac:dyDescent="0.25">
      <c r="B11" s="5"/>
      <c r="C11" s="2"/>
      <c r="D11" t="s">
        <v>109</v>
      </c>
      <c r="E11" s="54">
        <v>1</v>
      </c>
      <c r="F11" s="8" t="s">
        <v>63</v>
      </c>
      <c r="G11" s="98">
        <f>4700000*1.25</f>
        <v>5875000</v>
      </c>
      <c r="H11" s="15"/>
      <c r="I11" s="15"/>
      <c r="J11" s="66"/>
      <c r="K11" s="11"/>
    </row>
    <row r="12" spans="2:11" x14ac:dyDescent="0.25">
      <c r="B12" s="5"/>
      <c r="C12" s="2"/>
      <c r="D12" t="s">
        <v>110</v>
      </c>
      <c r="E12" s="54">
        <v>1</v>
      </c>
      <c r="F12" s="8" t="s">
        <v>63</v>
      </c>
      <c r="G12" s="98">
        <f>(425808+142071)*(950/1250)</f>
        <v>431588.04</v>
      </c>
      <c r="H12" s="15"/>
      <c r="I12" s="15"/>
      <c r="J12" s="67"/>
      <c r="K12" s="17"/>
    </row>
    <row r="13" spans="2:11" x14ac:dyDescent="0.25">
      <c r="B13" s="5"/>
      <c r="C13" s="2"/>
      <c r="D13" t="s">
        <v>94</v>
      </c>
      <c r="H13" s="15"/>
      <c r="I13" s="15"/>
      <c r="J13" s="67" t="s">
        <v>64</v>
      </c>
      <c r="K13" s="17">
        <f>E11*G11+E12*G12</f>
        <v>6306588.04</v>
      </c>
    </row>
    <row r="14" spans="2:11" ht="15.75" x14ac:dyDescent="0.25">
      <c r="B14" s="5"/>
      <c r="C14" s="18" t="s">
        <v>5</v>
      </c>
      <c r="D14" s="18" t="s">
        <v>41</v>
      </c>
      <c r="E14" s="8"/>
      <c r="F14" s="8"/>
      <c r="G14" s="14"/>
      <c r="H14" s="15"/>
      <c r="I14" s="15"/>
      <c r="J14" s="67"/>
      <c r="K14" s="10"/>
    </row>
    <row r="15" spans="2:11" x14ac:dyDescent="0.25">
      <c r="B15" s="5"/>
      <c r="C15" s="2"/>
      <c r="D15" t="s">
        <v>65</v>
      </c>
      <c r="E15" s="54">
        <v>1</v>
      </c>
      <c r="F15" s="8" t="s">
        <v>63</v>
      </c>
      <c r="G15" s="99">
        <v>142000</v>
      </c>
      <c r="H15" s="15"/>
      <c r="I15" s="15"/>
      <c r="J15" s="66"/>
      <c r="K15" s="10"/>
    </row>
    <row r="16" spans="2:11" x14ac:dyDescent="0.25">
      <c r="B16" s="31"/>
      <c r="C16" s="32"/>
      <c r="D16" s="33"/>
      <c r="E16" s="34"/>
      <c r="F16" s="34"/>
      <c r="G16" s="34"/>
      <c r="H16" s="75"/>
      <c r="I16" s="75"/>
      <c r="J16" s="67" t="s">
        <v>64</v>
      </c>
      <c r="K16" s="17">
        <f>E15*G15</f>
        <v>142000</v>
      </c>
    </row>
    <row r="17" spans="2:11" ht="15.75" x14ac:dyDescent="0.25">
      <c r="B17" s="5"/>
      <c r="C17" s="18" t="s">
        <v>6</v>
      </c>
      <c r="D17" s="18" t="s">
        <v>3</v>
      </c>
      <c r="E17" s="8"/>
      <c r="F17" s="8"/>
      <c r="H17" s="15"/>
      <c r="I17" s="15"/>
      <c r="J17" s="66"/>
      <c r="K17" s="10"/>
    </row>
    <row r="18" spans="2:11" x14ac:dyDescent="0.25">
      <c r="B18" s="5"/>
      <c r="C18" s="2"/>
      <c r="D18" t="s">
        <v>111</v>
      </c>
      <c r="E18" s="54">
        <v>1</v>
      </c>
      <c r="F18" s="8" t="s">
        <v>63</v>
      </c>
      <c r="G18" s="101">
        <f>112000*(950/1250)</f>
        <v>85120</v>
      </c>
      <c r="H18" s="15"/>
      <c r="I18" s="15"/>
      <c r="J18" s="66"/>
      <c r="K18" s="10"/>
    </row>
    <row r="19" spans="2:11" x14ac:dyDescent="0.25">
      <c r="B19" s="4"/>
      <c r="E19" s="8"/>
      <c r="F19" s="8"/>
      <c r="H19" s="15"/>
      <c r="I19" s="15"/>
      <c r="J19" s="67" t="s">
        <v>64</v>
      </c>
      <c r="K19" s="17">
        <f>G18</f>
        <v>85120</v>
      </c>
    </row>
    <row r="20" spans="2:11" ht="15.75" x14ac:dyDescent="0.25">
      <c r="B20" s="5"/>
      <c r="C20" s="18" t="s">
        <v>7</v>
      </c>
      <c r="D20" s="18" t="s">
        <v>142</v>
      </c>
      <c r="E20" s="8"/>
      <c r="F20" s="8"/>
      <c r="H20" s="15"/>
      <c r="I20" s="15"/>
      <c r="J20" s="66"/>
      <c r="K20" s="10"/>
    </row>
    <row r="21" spans="2:11" x14ac:dyDescent="0.25">
      <c r="B21" s="4"/>
      <c r="D21" t="s">
        <v>152</v>
      </c>
      <c r="E21" s="54">
        <f>(8-3)*7</f>
        <v>35</v>
      </c>
      <c r="F21" s="8" t="s">
        <v>66</v>
      </c>
      <c r="G21" s="78">
        <v>48028</v>
      </c>
      <c r="H21" s="15"/>
      <c r="I21" s="15"/>
      <c r="J21" s="66"/>
      <c r="K21" s="10"/>
    </row>
    <row r="22" spans="2:11" x14ac:dyDescent="0.25">
      <c r="B22" s="4"/>
      <c r="E22" s="8"/>
      <c r="F22" s="8"/>
      <c r="H22" s="15"/>
      <c r="I22" s="15"/>
      <c r="J22" s="67" t="s">
        <v>64</v>
      </c>
      <c r="K22" s="17">
        <f>E21*G21</f>
        <v>1680980</v>
      </c>
    </row>
    <row r="23" spans="2:11" ht="15.75" x14ac:dyDescent="0.25">
      <c r="B23" s="5"/>
      <c r="C23" s="18" t="s">
        <v>81</v>
      </c>
      <c r="D23" s="18" t="s">
        <v>154</v>
      </c>
      <c r="E23" s="8"/>
      <c r="F23" s="8"/>
      <c r="H23" s="15"/>
      <c r="I23" s="15"/>
      <c r="J23" s="66"/>
      <c r="K23" s="10"/>
    </row>
    <row r="24" spans="2:11" x14ac:dyDescent="0.25">
      <c r="B24" s="5"/>
      <c r="C24" s="2"/>
      <c r="D24" t="s">
        <v>155</v>
      </c>
      <c r="E24" s="54">
        <v>5</v>
      </c>
      <c r="F24" s="8" t="s">
        <v>66</v>
      </c>
      <c r="G24" s="54">
        <v>2000</v>
      </c>
      <c r="H24" s="15"/>
      <c r="I24" s="15"/>
      <c r="J24" s="66"/>
      <c r="K24" s="10"/>
    </row>
    <row r="25" spans="2:11" x14ac:dyDescent="0.25">
      <c r="B25" s="5"/>
      <c r="C25" s="2"/>
      <c r="D25" s="2"/>
      <c r="E25" s="8"/>
      <c r="F25" s="8"/>
      <c r="H25" s="15"/>
      <c r="I25" s="15"/>
      <c r="J25" s="67" t="s">
        <v>64</v>
      </c>
      <c r="K25" s="17">
        <f>E24*G24</f>
        <v>10000</v>
      </c>
    </row>
    <row r="26" spans="2:11" ht="15.75" x14ac:dyDescent="0.25">
      <c r="B26" s="35" t="s">
        <v>42</v>
      </c>
      <c r="C26" s="36"/>
      <c r="D26" s="36"/>
      <c r="E26" s="21" t="s">
        <v>82</v>
      </c>
      <c r="F26" s="37"/>
      <c r="G26" s="21"/>
      <c r="H26" s="76"/>
      <c r="I26" s="76"/>
      <c r="J26" s="68" t="s">
        <v>57</v>
      </c>
      <c r="K26" s="38">
        <f>K13+K16+K19+K22+K25</f>
        <v>8224688.04</v>
      </c>
    </row>
    <row r="27" spans="2:11" ht="15.75" x14ac:dyDescent="0.25">
      <c r="B27" s="29"/>
      <c r="C27" s="28"/>
      <c r="D27" s="28"/>
      <c r="E27" s="8"/>
      <c r="F27" s="8"/>
      <c r="H27" s="15"/>
      <c r="I27" s="15"/>
      <c r="J27" s="14"/>
      <c r="K27" s="10"/>
    </row>
    <row r="28" spans="2:11" ht="15.75" x14ac:dyDescent="0.25">
      <c r="B28" s="7" t="s">
        <v>9</v>
      </c>
      <c r="C28" s="18" t="s">
        <v>10</v>
      </c>
      <c r="D28" s="18"/>
      <c r="E28" s="8"/>
      <c r="F28" s="8"/>
      <c r="H28" s="15"/>
      <c r="I28" s="15"/>
      <c r="J28" s="14"/>
      <c r="K28" s="10"/>
    </row>
    <row r="29" spans="2:11" ht="15.75" x14ac:dyDescent="0.25">
      <c r="B29" s="1"/>
      <c r="C29" s="18" t="s">
        <v>4</v>
      </c>
      <c r="D29" s="18" t="s">
        <v>11</v>
      </c>
      <c r="E29" s="54">
        <v>1</v>
      </c>
      <c r="F29" s="8" t="s">
        <v>68</v>
      </c>
      <c r="G29" s="101">
        <v>98000</v>
      </c>
      <c r="H29" s="15"/>
      <c r="I29" s="15"/>
      <c r="J29" s="66"/>
      <c r="K29" s="10">
        <f>E29*G29</f>
        <v>98000</v>
      </c>
    </row>
    <row r="30" spans="2:11" ht="15.75" x14ac:dyDescent="0.25">
      <c r="B30" s="1"/>
      <c r="C30" s="18" t="s">
        <v>5</v>
      </c>
      <c r="D30" s="18" t="s">
        <v>112</v>
      </c>
      <c r="E30" s="54">
        <v>1</v>
      </c>
      <c r="F30" s="8" t="s">
        <v>68</v>
      </c>
      <c r="G30" s="101">
        <v>31000</v>
      </c>
      <c r="H30" s="15"/>
      <c r="I30" s="15"/>
      <c r="J30" s="66"/>
      <c r="K30" s="10">
        <f t="shared" ref="K30:K33" si="0">E30*G30</f>
        <v>31000</v>
      </c>
    </row>
    <row r="31" spans="2:11" ht="15.75" x14ac:dyDescent="0.25">
      <c r="B31" s="1"/>
      <c r="C31" s="18" t="s">
        <v>6</v>
      </c>
      <c r="D31" s="18" t="s">
        <v>12</v>
      </c>
      <c r="E31" s="54">
        <v>1</v>
      </c>
      <c r="F31" s="8" t="s">
        <v>68</v>
      </c>
      <c r="G31" s="101">
        <v>84000</v>
      </c>
      <c r="H31" s="15"/>
      <c r="I31" s="15"/>
      <c r="J31" s="66"/>
      <c r="K31" s="10">
        <f t="shared" si="0"/>
        <v>84000</v>
      </c>
    </row>
    <row r="32" spans="2:11" ht="15.75" x14ac:dyDescent="0.25">
      <c r="B32" s="1"/>
      <c r="C32" s="18" t="s">
        <v>7</v>
      </c>
      <c r="D32" s="18" t="s">
        <v>13</v>
      </c>
      <c r="E32" s="54">
        <v>1</v>
      </c>
      <c r="F32" s="8" t="s">
        <v>68</v>
      </c>
      <c r="G32" s="101">
        <f>241000+530000</f>
        <v>771000</v>
      </c>
      <c r="H32" s="15"/>
      <c r="I32" s="15"/>
      <c r="J32" s="66"/>
      <c r="K32" s="10">
        <f t="shared" si="0"/>
        <v>771000</v>
      </c>
    </row>
    <row r="33" spans="2:11" ht="15.75" x14ac:dyDescent="0.25">
      <c r="B33" s="1"/>
      <c r="C33" s="18" t="s">
        <v>81</v>
      </c>
      <c r="D33" s="18" t="s">
        <v>14</v>
      </c>
      <c r="E33" s="54">
        <v>1</v>
      </c>
      <c r="F33" s="8" t="s">
        <v>68</v>
      </c>
      <c r="G33" s="101">
        <v>367000</v>
      </c>
      <c r="H33" s="15"/>
      <c r="I33" s="15"/>
      <c r="J33" s="66"/>
      <c r="K33" s="10">
        <f t="shared" si="0"/>
        <v>367000</v>
      </c>
    </row>
    <row r="34" spans="2:11" ht="15.75" x14ac:dyDescent="0.25">
      <c r="B34" s="35" t="s">
        <v>89</v>
      </c>
      <c r="C34" s="39"/>
      <c r="D34" s="39"/>
      <c r="E34" s="40"/>
      <c r="F34" s="40"/>
      <c r="G34" s="41"/>
      <c r="H34" s="77"/>
      <c r="I34" s="77"/>
      <c r="J34" s="68" t="s">
        <v>58</v>
      </c>
      <c r="K34" s="38">
        <f>K29+K30+K31+K32+K33</f>
        <v>1351000</v>
      </c>
    </row>
    <row r="35" spans="2:11" ht="15.75" x14ac:dyDescent="0.25">
      <c r="B35" s="29"/>
      <c r="C35" s="28"/>
      <c r="D35" s="28"/>
      <c r="H35" s="14"/>
      <c r="I35" s="14"/>
      <c r="J35" s="14"/>
      <c r="K35" s="10"/>
    </row>
    <row r="36" spans="2:11" ht="15.75" x14ac:dyDescent="0.25">
      <c r="B36" s="29"/>
      <c r="C36" s="28"/>
      <c r="D36" s="28"/>
      <c r="H36" s="14"/>
      <c r="I36" s="14"/>
      <c r="J36" s="14"/>
      <c r="K36" s="10"/>
    </row>
    <row r="37" spans="2:11" ht="15.75" x14ac:dyDescent="0.25">
      <c r="B37" s="35" t="s">
        <v>15</v>
      </c>
      <c r="C37" s="43"/>
      <c r="D37" s="43"/>
      <c r="E37" s="41"/>
      <c r="F37" s="41"/>
      <c r="G37" s="41"/>
      <c r="H37" s="69"/>
      <c r="I37" s="69"/>
      <c r="J37" s="68" t="s">
        <v>59</v>
      </c>
      <c r="K37" s="38">
        <f>+K26+K34</f>
        <v>9575688.0399999991</v>
      </c>
    </row>
    <row r="38" spans="2:11" ht="15.75" x14ac:dyDescent="0.25">
      <c r="B38" s="1"/>
      <c r="C38" s="28"/>
      <c r="D38" s="28"/>
      <c r="G38" s="2"/>
      <c r="H38" s="14"/>
      <c r="I38" s="14"/>
      <c r="J38" s="14"/>
      <c r="K38" s="11"/>
    </row>
    <row r="39" spans="2:11" ht="15.75" x14ac:dyDescent="0.25">
      <c r="B39" s="29"/>
      <c r="C39" s="28"/>
      <c r="D39" s="28"/>
      <c r="H39" s="14"/>
      <c r="I39" s="14"/>
      <c r="J39" s="14"/>
      <c r="K39" s="11"/>
    </row>
    <row r="40" spans="2:11" ht="15.75" x14ac:dyDescent="0.25">
      <c r="B40" s="1" t="s">
        <v>16</v>
      </c>
      <c r="C40" s="28"/>
      <c r="D40" s="28"/>
      <c r="H40" s="14"/>
      <c r="I40" s="14"/>
      <c r="J40" s="14"/>
      <c r="K40" s="11"/>
    </row>
    <row r="41" spans="2:11" ht="15.75" x14ac:dyDescent="0.25">
      <c r="B41" s="30" t="s">
        <v>17</v>
      </c>
      <c r="C41" s="28" t="s">
        <v>18</v>
      </c>
      <c r="D41" s="28"/>
      <c r="E41" s="82">
        <v>0.1</v>
      </c>
      <c r="F41" s="8" t="s">
        <v>70</v>
      </c>
      <c r="G41" s="19"/>
      <c r="H41" s="14"/>
      <c r="I41" s="15">
        <f>E41*K37</f>
        <v>957568.804</v>
      </c>
      <c r="J41" s="66"/>
      <c r="K41" s="11"/>
    </row>
    <row r="42" spans="2:11" ht="15.75" x14ac:dyDescent="0.25">
      <c r="B42" s="30" t="s">
        <v>19</v>
      </c>
      <c r="C42" s="28" t="s">
        <v>20</v>
      </c>
      <c r="D42" s="28"/>
      <c r="E42" s="54">
        <v>1</v>
      </c>
      <c r="F42" s="8" t="s">
        <v>63</v>
      </c>
      <c r="G42" s="101">
        <v>75000</v>
      </c>
      <c r="H42" s="14"/>
      <c r="I42" s="15">
        <f>G42*E42</f>
        <v>75000</v>
      </c>
      <c r="J42" s="66"/>
      <c r="K42" s="79"/>
    </row>
    <row r="43" spans="2:11" ht="15.75" x14ac:dyDescent="0.25">
      <c r="B43" s="35" t="s">
        <v>21</v>
      </c>
      <c r="C43" s="43"/>
      <c r="D43" s="43"/>
      <c r="E43" s="41"/>
      <c r="F43" s="40"/>
      <c r="G43" s="41"/>
      <c r="H43" s="69"/>
      <c r="I43" s="77"/>
      <c r="J43" s="68" t="s">
        <v>60</v>
      </c>
      <c r="K43" s="38">
        <f>SUM(I41:I42)</f>
        <v>1032568.804</v>
      </c>
    </row>
    <row r="44" spans="2:11" ht="15.75" x14ac:dyDescent="0.25">
      <c r="B44" s="1"/>
      <c r="C44" s="28"/>
      <c r="D44" s="28"/>
      <c r="F44" s="8"/>
      <c r="H44" s="14"/>
      <c r="I44" s="15"/>
      <c r="J44" s="70"/>
      <c r="K44" s="11"/>
    </row>
    <row r="45" spans="2:11" ht="15.75" x14ac:dyDescent="0.25">
      <c r="B45" s="29"/>
      <c r="C45" s="28"/>
      <c r="D45" s="28"/>
      <c r="F45" s="8"/>
      <c r="H45" s="14"/>
      <c r="I45" s="15"/>
      <c r="J45" s="14"/>
      <c r="K45" s="11"/>
    </row>
    <row r="46" spans="2:11" ht="15.75" x14ac:dyDescent="0.25">
      <c r="B46" s="1" t="s">
        <v>22</v>
      </c>
      <c r="C46" s="28"/>
      <c r="D46" s="28"/>
      <c r="F46" s="8"/>
      <c r="H46" s="14"/>
      <c r="I46" s="15"/>
      <c r="J46" s="14"/>
      <c r="K46" s="11"/>
    </row>
    <row r="47" spans="2:11" ht="15.75" x14ac:dyDescent="0.25">
      <c r="B47" s="30" t="s">
        <v>23</v>
      </c>
      <c r="C47" s="28" t="s">
        <v>24</v>
      </c>
      <c r="D47" s="28"/>
      <c r="E47" s="92">
        <v>0.1</v>
      </c>
      <c r="F47" s="8" t="s">
        <v>70</v>
      </c>
      <c r="G47" s="19"/>
      <c r="H47" s="14"/>
      <c r="I47" s="15">
        <f>E47*K37</f>
        <v>957568.804</v>
      </c>
      <c r="J47" s="66"/>
      <c r="K47" s="11"/>
    </row>
    <row r="48" spans="2:11" ht="15.75" x14ac:dyDescent="0.25">
      <c r="B48" s="35" t="s">
        <v>26</v>
      </c>
      <c r="C48" s="42"/>
      <c r="D48" s="42"/>
      <c r="E48" s="44"/>
      <c r="F48" s="44"/>
      <c r="G48" s="44"/>
      <c r="H48" s="71"/>
      <c r="I48" s="71"/>
      <c r="J48" s="68" t="s">
        <v>51</v>
      </c>
      <c r="K48" s="93">
        <f>SUM(I47:I47)</f>
        <v>957568.804</v>
      </c>
    </row>
    <row r="49" spans="2:13" ht="15.75" x14ac:dyDescent="0.25">
      <c r="B49" s="1"/>
      <c r="C49" s="28"/>
      <c r="D49" s="28"/>
      <c r="H49" s="14"/>
      <c r="I49" s="14"/>
      <c r="J49" s="70"/>
      <c r="K49" s="11"/>
    </row>
    <row r="50" spans="2:13" ht="15.75" x14ac:dyDescent="0.25">
      <c r="B50" s="29"/>
      <c r="C50" s="28"/>
      <c r="D50" s="28"/>
      <c r="H50" s="14"/>
      <c r="I50" s="14"/>
      <c r="J50" s="14"/>
      <c r="K50" s="11"/>
    </row>
    <row r="51" spans="2:13" ht="34.5" customHeight="1" thickBot="1" x14ac:dyDescent="0.35">
      <c r="B51" s="45" t="s">
        <v>27</v>
      </c>
      <c r="C51" s="46"/>
      <c r="D51" s="46"/>
      <c r="E51" s="46"/>
      <c r="F51" s="46"/>
      <c r="G51" s="47"/>
      <c r="H51" s="72"/>
      <c r="I51" s="73"/>
      <c r="J51" s="74" t="s">
        <v>52</v>
      </c>
      <c r="K51" s="94">
        <f>K37+K43+K48</f>
        <v>11565825.647999998</v>
      </c>
    </row>
    <row r="52" spans="2:13" ht="15.75" thickTop="1" x14ac:dyDescent="0.25"/>
    <row r="55" spans="2:13" x14ac:dyDescent="0.25">
      <c r="D55" s="102" t="s">
        <v>145</v>
      </c>
      <c r="E55" s="154" t="s">
        <v>127</v>
      </c>
      <c r="F55" s="155"/>
      <c r="G55" s="154" t="s">
        <v>128</v>
      </c>
      <c r="H55" s="156"/>
      <c r="I55" s="156"/>
      <c r="J55" s="155"/>
    </row>
    <row r="56" spans="2:13" ht="63.75" customHeight="1" x14ac:dyDescent="0.25">
      <c r="D56" s="113" t="s">
        <v>129</v>
      </c>
      <c r="E56" s="149" t="s">
        <v>94</v>
      </c>
      <c r="F56" s="149"/>
      <c r="G56" s="145" t="s">
        <v>137</v>
      </c>
      <c r="H56" s="145"/>
      <c r="I56" s="145"/>
      <c r="J56" s="145"/>
    </row>
    <row r="57" spans="2:13" ht="42" customHeight="1" x14ac:dyDescent="0.25">
      <c r="D57" s="113" t="s">
        <v>129</v>
      </c>
      <c r="E57" s="149" t="s">
        <v>110</v>
      </c>
      <c r="F57" s="149"/>
      <c r="G57" s="145" t="s">
        <v>146</v>
      </c>
      <c r="H57" s="145"/>
      <c r="I57" s="145"/>
      <c r="J57" s="145"/>
    </row>
    <row r="58" spans="2:13" ht="30.75" customHeight="1" x14ac:dyDescent="0.25">
      <c r="D58" s="113" t="s">
        <v>130</v>
      </c>
      <c r="E58" s="149" t="s">
        <v>65</v>
      </c>
      <c r="F58" s="149"/>
      <c r="G58" s="145" t="s">
        <v>138</v>
      </c>
      <c r="H58" s="145"/>
      <c r="I58" s="145"/>
      <c r="J58" s="145"/>
    </row>
    <row r="59" spans="2:13" ht="34.5" customHeight="1" x14ac:dyDescent="0.25">
      <c r="D59" s="113" t="s">
        <v>131</v>
      </c>
      <c r="E59" s="149" t="s">
        <v>132</v>
      </c>
      <c r="F59" s="149"/>
      <c r="G59" s="145" t="s">
        <v>147</v>
      </c>
      <c r="H59" s="145"/>
      <c r="I59" s="145"/>
      <c r="J59" s="145"/>
    </row>
    <row r="60" spans="2:13" ht="104.25" customHeight="1" x14ac:dyDescent="0.25">
      <c r="D60" s="113" t="s">
        <v>150</v>
      </c>
      <c r="E60" s="149" t="s">
        <v>142</v>
      </c>
      <c r="F60" s="149"/>
      <c r="G60" s="146" t="s">
        <v>167</v>
      </c>
      <c r="H60" s="147"/>
      <c r="I60" s="147"/>
      <c r="J60" s="148"/>
      <c r="M60" s="108"/>
    </row>
    <row r="61" spans="2:13" ht="51.75" customHeight="1" x14ac:dyDescent="0.25">
      <c r="D61" s="113" t="s">
        <v>151</v>
      </c>
      <c r="E61" s="149" t="s">
        <v>153</v>
      </c>
      <c r="F61" s="149"/>
      <c r="G61" s="145" t="s">
        <v>156</v>
      </c>
      <c r="H61" s="145"/>
      <c r="I61" s="145"/>
      <c r="J61" s="145"/>
    </row>
    <row r="62" spans="2:13" ht="60" customHeight="1" x14ac:dyDescent="0.25">
      <c r="D62" s="113" t="s">
        <v>149</v>
      </c>
      <c r="E62" s="149" t="s">
        <v>133</v>
      </c>
      <c r="F62" s="149"/>
      <c r="G62" s="145" t="s">
        <v>139</v>
      </c>
      <c r="H62" s="145"/>
      <c r="I62" s="145"/>
      <c r="J62" s="145"/>
    </row>
    <row r="63" spans="2:13" ht="96" customHeight="1" x14ac:dyDescent="0.25">
      <c r="D63" s="113" t="s">
        <v>96</v>
      </c>
      <c r="E63" s="149" t="s">
        <v>134</v>
      </c>
      <c r="F63" s="149"/>
      <c r="G63" s="145" t="s">
        <v>158</v>
      </c>
      <c r="H63" s="145"/>
      <c r="I63" s="145"/>
      <c r="J63" s="145"/>
    </row>
    <row r="64" spans="2:13" ht="46.5" customHeight="1" x14ac:dyDescent="0.25">
      <c r="D64" s="113" t="s">
        <v>97</v>
      </c>
      <c r="E64" s="149" t="s">
        <v>135</v>
      </c>
      <c r="F64" s="149"/>
      <c r="G64" s="145" t="s">
        <v>140</v>
      </c>
      <c r="H64" s="145"/>
      <c r="I64" s="145"/>
      <c r="J64" s="145"/>
    </row>
    <row r="65" spans="4:10" ht="106.5" customHeight="1" x14ac:dyDescent="0.25">
      <c r="D65" s="113" t="s">
        <v>148</v>
      </c>
      <c r="E65" s="149" t="s">
        <v>136</v>
      </c>
      <c r="F65" s="149"/>
      <c r="G65" s="145" t="s">
        <v>159</v>
      </c>
      <c r="H65" s="145"/>
      <c r="I65" s="145"/>
      <c r="J65" s="145"/>
    </row>
    <row r="66" spans="4:10" x14ac:dyDescent="0.25">
      <c r="D66" s="105"/>
      <c r="E66" s="106"/>
      <c r="F66" s="106"/>
      <c r="G66" s="107"/>
      <c r="H66" s="107"/>
    </row>
    <row r="68" spans="4:10" ht="15.75" x14ac:dyDescent="0.25">
      <c r="D68" s="18"/>
    </row>
    <row r="69" spans="4:10" ht="15.75" x14ac:dyDescent="0.25">
      <c r="D69" s="18"/>
    </row>
    <row r="70" spans="4:10" ht="15.75" x14ac:dyDescent="0.25">
      <c r="D70" s="18"/>
    </row>
    <row r="71" spans="4:10" ht="15.75" x14ac:dyDescent="0.25">
      <c r="D71" s="18"/>
    </row>
    <row r="72" spans="4:10" ht="15.75" x14ac:dyDescent="0.25">
      <c r="D72" s="18"/>
    </row>
    <row r="73" spans="4:10" ht="15.75" x14ac:dyDescent="0.25">
      <c r="D73" s="18"/>
    </row>
    <row r="74" spans="4:10" ht="15.75" x14ac:dyDescent="0.25">
      <c r="D74" s="18"/>
    </row>
  </sheetData>
  <mergeCells count="24">
    <mergeCell ref="E65:F65"/>
    <mergeCell ref="E63:F63"/>
    <mergeCell ref="E64:F64"/>
    <mergeCell ref="E59:F59"/>
    <mergeCell ref="E62:F62"/>
    <mergeCell ref="E60:F60"/>
    <mergeCell ref="E61:F61"/>
    <mergeCell ref="J1:K1"/>
    <mergeCell ref="E55:F55"/>
    <mergeCell ref="E56:F56"/>
    <mergeCell ref="G55:J55"/>
    <mergeCell ref="G56:J56"/>
    <mergeCell ref="G57:J57"/>
    <mergeCell ref="G58:J58"/>
    <mergeCell ref="E57:F57"/>
    <mergeCell ref="B6:K6"/>
    <mergeCell ref="E58:F58"/>
    <mergeCell ref="G59:J59"/>
    <mergeCell ref="G62:J62"/>
    <mergeCell ref="G63:J63"/>
    <mergeCell ref="G64:J64"/>
    <mergeCell ref="G65:J65"/>
    <mergeCell ref="G60:J60"/>
    <mergeCell ref="G61:J61"/>
  </mergeCells>
  <printOptions horizontalCentered="1"/>
  <pageMargins left="0.38" right="0.4" top="0.48" bottom="0.75" header="0.3" footer="0.3"/>
  <pageSetup scale="46" orientation="portrait" r:id="rId1"/>
  <headerFooter>
    <oddFooter xml:space="preserve">&amp;LUniversity of Alaska Fairbanks
BACT Analysis&amp;R  
December 2022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pageSetUpPr fitToPage="1"/>
  </sheetPr>
  <dimension ref="B1:Q46"/>
  <sheetViews>
    <sheetView tabSelected="1" topLeftCell="A3" zoomScaleNormal="100" workbookViewId="0">
      <selection activeCell="M32" sqref="M32"/>
    </sheetView>
  </sheetViews>
  <sheetFormatPr defaultRowHeight="15" x14ac:dyDescent="0.25"/>
  <cols>
    <col min="1" max="1" width="3" customWidth="1"/>
    <col min="2" max="3" width="6" customWidth="1"/>
    <col min="4" max="4" width="51.42578125" customWidth="1"/>
    <col min="5" max="5" width="13.28515625" bestFit="1" customWidth="1"/>
    <col min="6" max="6" width="13.140625" customWidth="1"/>
    <col min="7" max="7" width="15.42578125" customWidth="1"/>
    <col min="8" max="8" width="24" customWidth="1"/>
    <col min="9" max="9" width="18.7109375" customWidth="1"/>
    <col min="11" max="11" width="13.28515625" customWidth="1"/>
  </cols>
  <sheetData>
    <row r="1" spans="2:11" ht="15.75" thickBot="1" x14ac:dyDescent="0.3">
      <c r="I1" s="167" t="s">
        <v>78</v>
      </c>
      <c r="J1" s="168"/>
      <c r="K1" s="169"/>
    </row>
    <row r="2" spans="2:11" ht="18.75" x14ac:dyDescent="0.3">
      <c r="B2" s="114" t="s">
        <v>163</v>
      </c>
      <c r="C2" s="115"/>
      <c r="D2" s="56"/>
      <c r="E2" s="56"/>
      <c r="F2" s="56"/>
      <c r="G2" s="56"/>
      <c r="H2" s="56"/>
      <c r="I2" s="56"/>
      <c r="J2" s="116" t="s">
        <v>45</v>
      </c>
      <c r="K2" s="117">
        <v>44923</v>
      </c>
    </row>
    <row r="3" spans="2:11" x14ac:dyDescent="0.25">
      <c r="B3" s="58" t="s">
        <v>72</v>
      </c>
      <c r="D3" s="22" t="s">
        <v>87</v>
      </c>
      <c r="J3" s="9" t="s">
        <v>46</v>
      </c>
      <c r="K3" s="118" t="s">
        <v>88</v>
      </c>
    </row>
    <row r="4" spans="2:11" x14ac:dyDescent="0.25">
      <c r="B4" s="58" t="s">
        <v>91</v>
      </c>
      <c r="D4" t="s">
        <v>92</v>
      </c>
      <c r="J4" s="9" t="s">
        <v>164</v>
      </c>
      <c r="K4" s="118" t="s">
        <v>165</v>
      </c>
    </row>
    <row r="5" spans="2:11" ht="15.75" thickBot="1" x14ac:dyDescent="0.3">
      <c r="B5" s="60"/>
      <c r="C5" s="48"/>
      <c r="D5" s="48"/>
      <c r="E5" s="48"/>
      <c r="F5" s="48"/>
      <c r="G5" s="48"/>
      <c r="H5" s="48"/>
      <c r="I5" s="48"/>
      <c r="J5" s="49" t="s">
        <v>47</v>
      </c>
      <c r="K5" s="119" t="s">
        <v>166</v>
      </c>
    </row>
    <row r="6" spans="2:11" ht="16.5" thickBot="1" x14ac:dyDescent="0.3">
      <c r="B6" s="164" t="s">
        <v>43</v>
      </c>
      <c r="C6" s="165"/>
      <c r="D6" s="165"/>
      <c r="E6" s="165"/>
      <c r="F6" s="165"/>
      <c r="G6" s="165"/>
      <c r="H6" s="165"/>
      <c r="I6" s="165"/>
      <c r="J6" s="165"/>
      <c r="K6" s="166"/>
    </row>
    <row r="7" spans="2:11" ht="15.75" x14ac:dyDescent="0.25">
      <c r="B7" s="120" t="s">
        <v>28</v>
      </c>
      <c r="C7" s="62"/>
      <c r="D7" s="56"/>
      <c r="E7" s="63" t="s">
        <v>48</v>
      </c>
      <c r="F7" s="63" t="s">
        <v>49</v>
      </c>
      <c r="G7" s="64" t="s">
        <v>50</v>
      </c>
      <c r="H7" s="63" t="s">
        <v>62</v>
      </c>
      <c r="I7" s="63" t="s">
        <v>61</v>
      </c>
      <c r="J7" s="56"/>
      <c r="K7" s="57" t="s">
        <v>76</v>
      </c>
    </row>
    <row r="8" spans="2:11" x14ac:dyDescent="0.25">
      <c r="B8" s="121" t="s">
        <v>8</v>
      </c>
      <c r="C8" t="s">
        <v>29</v>
      </c>
      <c r="E8" s="99">
        <f>8760+2*52</f>
        <v>8864</v>
      </c>
      <c r="F8" s="8" t="s">
        <v>69</v>
      </c>
      <c r="G8" s="109">
        <v>49.09</v>
      </c>
      <c r="H8" s="15" t="s">
        <v>83</v>
      </c>
      <c r="I8" s="15">
        <f>E8*G8</f>
        <v>435133.76</v>
      </c>
      <c r="J8" s="122"/>
      <c r="K8" s="123">
        <f>I8</f>
        <v>435133.76</v>
      </c>
    </row>
    <row r="9" spans="2:11" x14ac:dyDescent="0.25">
      <c r="B9" s="121" t="s">
        <v>9</v>
      </c>
      <c r="C9" t="s">
        <v>30</v>
      </c>
      <c r="E9" s="109"/>
      <c r="F9" s="8" t="s">
        <v>69</v>
      </c>
      <c r="G9" s="109"/>
      <c r="H9" s="15" t="s">
        <v>83</v>
      </c>
      <c r="I9" s="15" t="s">
        <v>83</v>
      </c>
      <c r="J9" s="122"/>
      <c r="K9" s="123" t="str">
        <f t="shared" ref="K9:K10" si="0">I9</f>
        <v>Excluded</v>
      </c>
    </row>
    <row r="10" spans="2:11" x14ac:dyDescent="0.25">
      <c r="B10" s="121" t="s">
        <v>17</v>
      </c>
      <c r="C10" t="s">
        <v>31</v>
      </c>
      <c r="E10" s="99">
        <f>10*52</f>
        <v>520</v>
      </c>
      <c r="F10" s="8" t="s">
        <v>69</v>
      </c>
      <c r="G10" s="109">
        <v>49.09</v>
      </c>
      <c r="H10" s="15" t="s">
        <v>83</v>
      </c>
      <c r="I10" s="15">
        <f>E10*G10</f>
        <v>25526.800000000003</v>
      </c>
      <c r="J10" s="122"/>
      <c r="K10" s="123">
        <f t="shared" si="0"/>
        <v>25526.800000000003</v>
      </c>
    </row>
    <row r="11" spans="2:11" x14ac:dyDescent="0.25">
      <c r="B11" s="121" t="s">
        <v>19</v>
      </c>
      <c r="C11" t="s">
        <v>75</v>
      </c>
      <c r="E11" s="99">
        <v>1</v>
      </c>
      <c r="F11" s="8" t="s">
        <v>68</v>
      </c>
      <c r="G11" s="99">
        <f>I10</f>
        <v>25526.800000000003</v>
      </c>
      <c r="H11" s="15">
        <f>G11*E11</f>
        <v>25526.800000000003</v>
      </c>
      <c r="I11" s="15" t="s">
        <v>83</v>
      </c>
      <c r="J11" s="122"/>
      <c r="K11" s="123">
        <f>H11</f>
        <v>25526.800000000003</v>
      </c>
    </row>
    <row r="12" spans="2:11" x14ac:dyDescent="0.25">
      <c r="B12" s="121" t="s">
        <v>23</v>
      </c>
      <c r="C12" t="s">
        <v>32</v>
      </c>
      <c r="E12" s="110"/>
      <c r="F12" s="8"/>
      <c r="G12" s="111"/>
      <c r="H12" s="15"/>
      <c r="I12" s="15"/>
      <c r="J12" s="122"/>
      <c r="K12" s="123"/>
    </row>
    <row r="13" spans="2:11" x14ac:dyDescent="0.25">
      <c r="B13" s="58"/>
      <c r="C13" t="s">
        <v>4</v>
      </c>
      <c r="D13" t="s">
        <v>95</v>
      </c>
      <c r="E13" s="99">
        <f>90*8760/2000</f>
        <v>394.2</v>
      </c>
      <c r="F13" s="8" t="s">
        <v>67</v>
      </c>
      <c r="G13" s="99">
        <v>1377</v>
      </c>
      <c r="H13" s="15">
        <f>E13*G13</f>
        <v>542813.4</v>
      </c>
      <c r="I13" s="15" t="s">
        <v>83</v>
      </c>
      <c r="J13" s="122"/>
      <c r="K13" s="123">
        <f>H13</f>
        <v>542813.4</v>
      </c>
    </row>
    <row r="14" spans="2:11" x14ac:dyDescent="0.25">
      <c r="B14" s="58"/>
      <c r="C14" t="s">
        <v>5</v>
      </c>
      <c r="D14" t="s">
        <v>33</v>
      </c>
      <c r="E14" s="99">
        <f>82.6*8760+(300*0.7457*8760)</f>
        <v>2683275.6</v>
      </c>
      <c r="F14" s="8" t="s">
        <v>157</v>
      </c>
      <c r="G14" s="112">
        <v>0.20499999999999999</v>
      </c>
      <c r="H14" s="15">
        <f>E14*G14</f>
        <v>550071.49800000002</v>
      </c>
      <c r="I14" s="15" t="s">
        <v>83</v>
      </c>
      <c r="J14" s="122"/>
      <c r="K14" s="123">
        <f>H14</f>
        <v>550071.49800000002</v>
      </c>
    </row>
    <row r="15" spans="2:11" x14ac:dyDescent="0.25">
      <c r="B15" s="121"/>
      <c r="C15" t="s">
        <v>6</v>
      </c>
      <c r="D15" t="s">
        <v>90</v>
      </c>
      <c r="E15" s="99">
        <f>17*60*8760/1000</f>
        <v>8935.2000000000007</v>
      </c>
      <c r="F15" s="8" t="s">
        <v>113</v>
      </c>
      <c r="G15" s="109">
        <v>11.3</v>
      </c>
      <c r="H15" s="15">
        <f>E15*G15</f>
        <v>100967.76000000001</v>
      </c>
      <c r="I15" s="15" t="s">
        <v>83</v>
      </c>
      <c r="J15" s="122"/>
      <c r="K15" s="123">
        <f>H15</f>
        <v>100967.76000000001</v>
      </c>
    </row>
    <row r="16" spans="2:11" x14ac:dyDescent="0.25">
      <c r="B16" s="124"/>
      <c r="C16" s="125"/>
      <c r="E16" s="126"/>
      <c r="F16" s="9"/>
      <c r="G16" s="122"/>
      <c r="H16" s="15"/>
      <c r="I16" s="127"/>
      <c r="J16" s="15"/>
      <c r="K16" s="123"/>
    </row>
    <row r="17" spans="2:12" x14ac:dyDescent="0.25">
      <c r="B17" s="128" t="s">
        <v>34</v>
      </c>
      <c r="C17" s="83"/>
      <c r="D17" s="84"/>
      <c r="E17" s="85"/>
      <c r="F17" s="86"/>
      <c r="G17" s="87"/>
      <c r="H17" s="76"/>
      <c r="I17" s="88"/>
      <c r="J17" s="89" t="s">
        <v>54</v>
      </c>
      <c r="K17" s="129">
        <f>SUM(K8:K15)</f>
        <v>1680040.0179999999</v>
      </c>
    </row>
    <row r="18" spans="2:12" x14ac:dyDescent="0.25">
      <c r="B18" s="58"/>
      <c r="C18" s="125"/>
      <c r="E18" s="8"/>
      <c r="G18" s="15"/>
      <c r="H18" s="15"/>
      <c r="I18" s="127"/>
      <c r="J18" s="130"/>
      <c r="K18" s="123"/>
    </row>
    <row r="19" spans="2:12" ht="15.75" x14ac:dyDescent="0.25">
      <c r="B19" s="131" t="s">
        <v>35</v>
      </c>
      <c r="C19" s="18"/>
      <c r="E19" s="8"/>
      <c r="F19" s="8"/>
      <c r="G19" s="15"/>
      <c r="H19" s="15"/>
      <c r="I19" s="15"/>
      <c r="J19" s="15"/>
      <c r="K19" s="123"/>
    </row>
    <row r="20" spans="2:12" x14ac:dyDescent="0.25">
      <c r="B20" s="121" t="s">
        <v>25</v>
      </c>
      <c r="C20" t="s">
        <v>36</v>
      </c>
      <c r="E20" s="82">
        <v>0.01</v>
      </c>
      <c r="F20" s="8" t="s">
        <v>73</v>
      </c>
      <c r="G20" s="8"/>
      <c r="H20" s="15"/>
      <c r="I20" s="15">
        <f>E20*'Total Capital Investment'!K51</f>
        <v>115658.25647999998</v>
      </c>
      <c r="J20" s="122"/>
      <c r="K20" s="123">
        <f>I20</f>
        <v>115658.25647999998</v>
      </c>
    </row>
    <row r="21" spans="2:12" x14ac:dyDescent="0.25">
      <c r="B21" s="121" t="s">
        <v>161</v>
      </c>
      <c r="C21" t="s">
        <v>143</v>
      </c>
      <c r="E21" s="100">
        <v>0.03</v>
      </c>
      <c r="F21" s="8" t="s">
        <v>86</v>
      </c>
      <c r="G21" s="8"/>
      <c r="H21" s="15"/>
      <c r="I21" s="15">
        <f>E21*'Total Capital Investment'!K51</f>
        <v>346974.76943999995</v>
      </c>
      <c r="J21" s="122"/>
      <c r="K21" s="123">
        <f>I21</f>
        <v>346974.76943999995</v>
      </c>
    </row>
    <row r="22" spans="2:12" x14ac:dyDescent="0.25">
      <c r="B22" s="121" t="s">
        <v>162</v>
      </c>
      <c r="C22" t="s">
        <v>79</v>
      </c>
      <c r="E22" s="126">
        <f>($E$31/100*POWER((1+($E$31/100)),$E$32))/((POWER(((1+$E$31/100)),$E$32))-1)</f>
        <v>8.467123576763981E-2</v>
      </c>
      <c r="F22" s="8"/>
      <c r="G22" s="15"/>
      <c r="H22" s="15"/>
      <c r="I22" s="15"/>
      <c r="J22" s="122"/>
      <c r="K22" s="132"/>
      <c r="L22" s="65"/>
    </row>
    <row r="23" spans="2:12" x14ac:dyDescent="0.25">
      <c r="B23" s="121" t="s">
        <v>38</v>
      </c>
      <c r="C23" t="s">
        <v>37</v>
      </c>
      <c r="G23" s="15"/>
      <c r="H23" s="133"/>
      <c r="I23" s="15"/>
      <c r="J23" s="134" t="s">
        <v>53</v>
      </c>
      <c r="K23" s="123">
        <f>E22*'Total Capital Investment'!K51</f>
        <v>979292.75028922339</v>
      </c>
      <c r="L23" s="65"/>
    </row>
    <row r="24" spans="2:12" x14ac:dyDescent="0.25">
      <c r="B24" s="58"/>
      <c r="E24" s="8"/>
      <c r="G24" s="15"/>
      <c r="H24" s="15"/>
      <c r="I24" s="15"/>
      <c r="J24" s="15"/>
      <c r="K24" s="123"/>
    </row>
    <row r="25" spans="2:12" x14ac:dyDescent="0.25">
      <c r="B25" s="128" t="s">
        <v>39</v>
      </c>
      <c r="C25" s="83"/>
      <c r="D25" s="90"/>
      <c r="E25" s="91"/>
      <c r="F25" s="90"/>
      <c r="G25" s="88"/>
      <c r="H25" s="76"/>
      <c r="I25" s="88"/>
      <c r="J25" s="89" t="s">
        <v>55</v>
      </c>
      <c r="K25" s="129">
        <f>SUM(K20:K23)</f>
        <v>1441925.7762092233</v>
      </c>
    </row>
    <row r="26" spans="2:12" x14ac:dyDescent="0.25">
      <c r="B26" s="135"/>
      <c r="C26" s="136"/>
      <c r="E26" s="8"/>
      <c r="G26" s="15"/>
      <c r="H26" s="15"/>
      <c r="I26" s="15"/>
      <c r="J26" s="15"/>
      <c r="K26" s="123"/>
    </row>
    <row r="27" spans="2:12" ht="16.5" thickBot="1" x14ac:dyDescent="0.3">
      <c r="B27" s="137" t="s">
        <v>44</v>
      </c>
      <c r="C27" s="138"/>
      <c r="D27" s="139"/>
      <c r="E27" s="140"/>
      <c r="F27" s="139"/>
      <c r="G27" s="141"/>
      <c r="H27" s="142"/>
      <c r="I27" s="141"/>
      <c r="J27" s="143" t="s">
        <v>56</v>
      </c>
      <c r="K27" s="144">
        <f>K17+K25</f>
        <v>3121965.7942092232</v>
      </c>
    </row>
    <row r="28" spans="2:12" ht="15.75" thickBot="1" x14ac:dyDescent="0.3">
      <c r="B28" s="172" t="s">
        <v>168</v>
      </c>
      <c r="C28" s="173"/>
      <c r="D28" s="173"/>
      <c r="E28" s="170"/>
      <c r="F28" s="170"/>
      <c r="G28" s="170"/>
      <c r="H28" s="170"/>
      <c r="I28" s="170"/>
      <c r="J28" s="170"/>
      <c r="K28" s="171">
        <f>K27/220.1</f>
        <v>14184.306198133681</v>
      </c>
    </row>
    <row r="29" spans="2:12" ht="15.75" thickBot="1" x14ac:dyDescent="0.3"/>
    <row r="30" spans="2:12" x14ac:dyDescent="0.25">
      <c r="D30" s="55" t="s">
        <v>80</v>
      </c>
      <c r="E30" s="56"/>
      <c r="F30" s="57"/>
      <c r="G30" s="12"/>
    </row>
    <row r="31" spans="2:12" x14ac:dyDescent="0.25">
      <c r="D31" s="58" t="s">
        <v>84</v>
      </c>
      <c r="E31" s="80">
        <v>7.5</v>
      </c>
      <c r="F31" s="59" t="s">
        <v>73</v>
      </c>
    </row>
    <row r="32" spans="2:12" ht="15.75" thickBot="1" x14ac:dyDescent="0.3">
      <c r="D32" s="60" t="s">
        <v>85</v>
      </c>
      <c r="E32" s="81">
        <v>30</v>
      </c>
      <c r="F32" s="61" t="s">
        <v>74</v>
      </c>
    </row>
    <row r="35" spans="2:17" ht="30" customHeight="1" x14ac:dyDescent="0.25">
      <c r="B35" s="154" t="s">
        <v>145</v>
      </c>
      <c r="C35" s="156"/>
      <c r="D35" s="155"/>
      <c r="E35" s="154" t="s">
        <v>127</v>
      </c>
      <c r="F35" s="155"/>
      <c r="G35" s="154" t="s">
        <v>128</v>
      </c>
      <c r="H35" s="156"/>
      <c r="I35" s="156"/>
      <c r="J35" s="156"/>
      <c r="K35" s="155"/>
      <c r="L35" s="103"/>
      <c r="M35" s="103"/>
      <c r="N35" s="103"/>
      <c r="O35" s="103"/>
      <c r="P35" s="103"/>
      <c r="Q35" s="103"/>
    </row>
    <row r="36" spans="2:17" ht="79.5" customHeight="1" x14ac:dyDescent="0.25">
      <c r="B36" s="157" t="s">
        <v>114</v>
      </c>
      <c r="C36" s="158"/>
      <c r="D36" s="159"/>
      <c r="E36" s="163" t="s">
        <v>121</v>
      </c>
      <c r="F36" s="163"/>
      <c r="G36" s="146" t="s">
        <v>141</v>
      </c>
      <c r="H36" s="147"/>
      <c r="I36" s="147"/>
      <c r="J36" s="147"/>
      <c r="K36" s="148"/>
      <c r="L36" s="104"/>
      <c r="M36" s="104"/>
      <c r="N36" s="104"/>
      <c r="O36" s="104"/>
      <c r="P36" s="104"/>
      <c r="Q36" s="104"/>
    </row>
    <row r="37" spans="2:17" ht="30.75" customHeight="1" x14ac:dyDescent="0.25">
      <c r="B37" s="157" t="s">
        <v>97</v>
      </c>
      <c r="C37" s="158"/>
      <c r="D37" s="159"/>
      <c r="E37" s="149" t="s">
        <v>98</v>
      </c>
      <c r="F37" s="149"/>
      <c r="G37" s="146" t="s">
        <v>160</v>
      </c>
      <c r="H37" s="147"/>
      <c r="I37" s="147"/>
      <c r="J37" s="147"/>
      <c r="K37" s="148"/>
      <c r="L37" s="104"/>
      <c r="M37" s="104"/>
      <c r="N37" s="104"/>
      <c r="O37" s="104"/>
      <c r="P37" s="104"/>
      <c r="Q37" s="104"/>
    </row>
    <row r="38" spans="2:17" ht="37.5" customHeight="1" x14ac:dyDescent="0.25">
      <c r="B38" s="157" t="s">
        <v>123</v>
      </c>
      <c r="C38" s="158"/>
      <c r="D38" s="159"/>
      <c r="E38" s="149" t="s">
        <v>99</v>
      </c>
      <c r="F38" s="149"/>
      <c r="G38" s="146" t="s">
        <v>124</v>
      </c>
      <c r="H38" s="147"/>
      <c r="I38" s="147"/>
      <c r="J38" s="147"/>
      <c r="K38" s="148"/>
      <c r="L38" s="104"/>
      <c r="M38" s="104"/>
      <c r="N38" s="104"/>
      <c r="O38" s="104"/>
      <c r="P38" s="104"/>
      <c r="Q38" s="104"/>
    </row>
    <row r="39" spans="2:17" ht="35.25" customHeight="1" x14ac:dyDescent="0.25">
      <c r="B39" s="157" t="s">
        <v>115</v>
      </c>
      <c r="C39" s="158"/>
      <c r="D39" s="159"/>
      <c r="E39" s="149" t="s">
        <v>100</v>
      </c>
      <c r="F39" s="149"/>
      <c r="G39" s="146" t="s">
        <v>125</v>
      </c>
      <c r="H39" s="147"/>
      <c r="I39" s="147"/>
      <c r="J39" s="147"/>
      <c r="K39" s="148"/>
      <c r="L39" s="104"/>
      <c r="M39" s="104"/>
      <c r="N39" s="104"/>
      <c r="O39" s="104"/>
      <c r="P39" s="104"/>
      <c r="Q39" s="104"/>
    </row>
    <row r="40" spans="2:17" ht="36.75" customHeight="1" x14ac:dyDescent="0.25">
      <c r="B40" s="157" t="s">
        <v>116</v>
      </c>
      <c r="C40" s="158"/>
      <c r="D40" s="159"/>
      <c r="E40" s="149" t="s">
        <v>122</v>
      </c>
      <c r="F40" s="149"/>
      <c r="G40" s="146" t="s">
        <v>126</v>
      </c>
      <c r="H40" s="147"/>
      <c r="I40" s="147"/>
      <c r="J40" s="147"/>
      <c r="K40" s="148"/>
      <c r="L40" s="104"/>
      <c r="M40" s="104"/>
      <c r="N40" s="104"/>
      <c r="O40" s="104"/>
      <c r="P40" s="104"/>
      <c r="Q40" s="104"/>
    </row>
    <row r="41" spans="2:17" ht="33" customHeight="1" x14ac:dyDescent="0.25">
      <c r="B41" s="157" t="s">
        <v>117</v>
      </c>
      <c r="C41" s="158"/>
      <c r="D41" s="159"/>
      <c r="E41" s="149" t="s">
        <v>36</v>
      </c>
      <c r="F41" s="149"/>
      <c r="G41" s="146" t="s">
        <v>104</v>
      </c>
      <c r="H41" s="147"/>
      <c r="I41" s="147"/>
      <c r="J41" s="147"/>
      <c r="K41" s="148"/>
      <c r="L41" s="104"/>
      <c r="M41" s="104"/>
      <c r="N41" s="104"/>
      <c r="O41" s="104"/>
      <c r="P41" s="104"/>
      <c r="Q41" s="104"/>
    </row>
    <row r="42" spans="2:17" ht="35.25" customHeight="1" x14ac:dyDescent="0.25">
      <c r="B42" s="157" t="s">
        <v>118</v>
      </c>
      <c r="C42" s="158"/>
      <c r="D42" s="159"/>
      <c r="E42" s="149" t="s">
        <v>101</v>
      </c>
      <c r="F42" s="149"/>
      <c r="G42" s="146" t="s">
        <v>104</v>
      </c>
      <c r="H42" s="147"/>
      <c r="I42" s="147"/>
      <c r="J42" s="147"/>
      <c r="K42" s="148"/>
      <c r="L42" s="104"/>
      <c r="M42" s="104"/>
      <c r="N42" s="104"/>
      <c r="O42" s="104"/>
      <c r="P42" s="104"/>
      <c r="Q42" s="104"/>
    </row>
    <row r="43" spans="2:17" ht="41.25" customHeight="1" x14ac:dyDescent="0.25">
      <c r="B43" s="157" t="s">
        <v>119</v>
      </c>
      <c r="C43" s="158"/>
      <c r="D43" s="159"/>
      <c r="E43" s="149" t="s">
        <v>105</v>
      </c>
      <c r="F43" s="149"/>
      <c r="G43" s="146" t="s">
        <v>106</v>
      </c>
      <c r="H43" s="147"/>
      <c r="I43" s="147"/>
      <c r="J43" s="147"/>
      <c r="K43" s="148"/>
      <c r="L43" s="104"/>
      <c r="M43" s="104"/>
      <c r="N43" s="104"/>
      <c r="O43" s="104"/>
      <c r="P43" s="104"/>
      <c r="Q43" s="104"/>
    </row>
    <row r="44" spans="2:17" ht="41.25" customHeight="1" x14ac:dyDescent="0.25">
      <c r="B44" s="157" t="s">
        <v>120</v>
      </c>
      <c r="C44" s="158"/>
      <c r="D44" s="159"/>
      <c r="E44" s="149" t="s">
        <v>37</v>
      </c>
      <c r="F44" s="149"/>
      <c r="G44" s="146" t="s">
        <v>108</v>
      </c>
      <c r="H44" s="147"/>
      <c r="I44" s="147"/>
      <c r="J44" s="147"/>
      <c r="K44" s="148"/>
    </row>
    <row r="45" spans="2:17" x14ac:dyDescent="0.25">
      <c r="B45" s="157" t="s">
        <v>84</v>
      </c>
      <c r="C45" s="158"/>
      <c r="D45" s="159"/>
      <c r="E45" s="149" t="s">
        <v>102</v>
      </c>
      <c r="F45" s="149"/>
      <c r="G45" s="160" t="s">
        <v>144</v>
      </c>
      <c r="H45" s="161"/>
      <c r="I45" s="161"/>
      <c r="J45" s="161"/>
      <c r="K45" s="162"/>
    </row>
    <row r="46" spans="2:17" x14ac:dyDescent="0.25">
      <c r="B46" s="157" t="s">
        <v>85</v>
      </c>
      <c r="C46" s="158"/>
      <c r="D46" s="159"/>
      <c r="E46" s="149" t="s">
        <v>103</v>
      </c>
      <c r="F46" s="149"/>
      <c r="G46" s="160" t="s">
        <v>107</v>
      </c>
      <c r="H46" s="161"/>
      <c r="I46" s="161"/>
      <c r="J46" s="161"/>
      <c r="K46" s="162"/>
    </row>
  </sheetData>
  <mergeCells count="38">
    <mergeCell ref="E39:F39"/>
    <mergeCell ref="B6:K6"/>
    <mergeCell ref="I1:K1"/>
    <mergeCell ref="E35:F35"/>
    <mergeCell ref="G35:K35"/>
    <mergeCell ref="B35:D35"/>
    <mergeCell ref="G44:K44"/>
    <mergeCell ref="B45:D45"/>
    <mergeCell ref="B46:D46"/>
    <mergeCell ref="G45:K45"/>
    <mergeCell ref="G46:K46"/>
    <mergeCell ref="E45:F45"/>
    <mergeCell ref="E46:F46"/>
    <mergeCell ref="E44:F44"/>
    <mergeCell ref="B44:D44"/>
    <mergeCell ref="B36:D36"/>
    <mergeCell ref="B37:D37"/>
    <mergeCell ref="B39:D39"/>
    <mergeCell ref="B40:D40"/>
    <mergeCell ref="G41:K41"/>
    <mergeCell ref="B38:D38"/>
    <mergeCell ref="E38:F38"/>
    <mergeCell ref="G38:K38"/>
    <mergeCell ref="G39:K39"/>
    <mergeCell ref="G40:K40"/>
    <mergeCell ref="G36:K36"/>
    <mergeCell ref="G37:K37"/>
    <mergeCell ref="E36:F36"/>
    <mergeCell ref="E40:F40"/>
    <mergeCell ref="E41:F41"/>
    <mergeCell ref="E37:F37"/>
    <mergeCell ref="G42:K42"/>
    <mergeCell ref="G43:K43"/>
    <mergeCell ref="B41:D41"/>
    <mergeCell ref="B42:D42"/>
    <mergeCell ref="B43:D43"/>
    <mergeCell ref="E42:F42"/>
    <mergeCell ref="E43:F43"/>
  </mergeCells>
  <printOptions horizontalCentered="1"/>
  <pageMargins left="0.33" right="0.41" top="0.56000000000000005" bottom="0.52" header="0.3" footer="0.3"/>
  <pageSetup scale="57" orientation="portrait" r:id="rId1"/>
  <headerFooter>
    <oddFooter>&amp;LUniversity of Alaska Fairbanks
BACT Analysis&amp;R
December 2022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08C179EEC2074C94A5872F733D36B4" ma:contentTypeVersion="16" ma:contentTypeDescription="Create a new document." ma:contentTypeScope="" ma:versionID="0f5fbe200114ef317095e8011f4b7a2d">
  <xsd:schema xmlns:xsd="http://www.w3.org/2001/XMLSchema" xmlns:xs="http://www.w3.org/2001/XMLSchema" xmlns:p="http://schemas.microsoft.com/office/2006/metadata/properties" xmlns:ns2="328188c1-2ee9-48af-ac1f-a2e00dbc8300" xmlns:ns3="e9801683-13b5-4471-b07d-4f526a8d92e6" targetNamespace="http://schemas.microsoft.com/office/2006/metadata/properties" ma:root="true" ma:fieldsID="18f240d04f6301ac98a2c5d2ac33bf3c" ns2:_="" ns3:_="">
    <xsd:import namespace="328188c1-2ee9-48af-ac1f-a2e00dbc8300"/>
    <xsd:import namespace="e9801683-13b5-4471-b07d-4f526a8d92e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8188c1-2ee9-48af-ac1f-a2e00dbc83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1fff9b3-6ef6-4aa5-8852-6b1354b1eeb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801683-13b5-4471-b07d-4f526a8d92e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cb7ffe5-37ca-40c1-9381-711a17cdd677}" ma:internalName="TaxCatchAll" ma:showField="CatchAllData" ma:web="e9801683-13b5-4471-b07d-4f526a8d92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801683-13b5-4471-b07d-4f526a8d92e6" xsi:nil="true"/>
    <lcf76f155ced4ddcb4097134ff3c332f xmlns="328188c1-2ee9-48af-ac1f-a2e00dbc830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7A5BB3F-BB63-4B0E-ABCA-4A6ECC49A844}"/>
</file>

<file path=customXml/itemProps2.xml><?xml version="1.0" encoding="utf-8"?>
<ds:datastoreItem xmlns:ds="http://schemas.openxmlformats.org/officeDocument/2006/customXml" ds:itemID="{F73B6263-C951-4237-AC43-D68CBAE7376F}"/>
</file>

<file path=customXml/itemProps3.xml><?xml version="1.0" encoding="utf-8"?>
<ds:datastoreItem xmlns:ds="http://schemas.openxmlformats.org/officeDocument/2006/customXml" ds:itemID="{92CE68BD-5275-46D3-9E43-FC216E5DB67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Total Capital Investment</vt:lpstr>
      <vt:lpstr>Cost Effectiveness</vt:lpstr>
      <vt:lpstr>'Total Capital Investment'!_Hlk115168373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2022-10-12T22:00:38Z</dcterms:created>
  <dcterms:modified xsi:type="dcterms:W3CDTF">2023-09-14T18:19:35Z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0x010100EF08C179EEC2074C94A5872F733D36B4</vt:lpwstr>
  </property>
</Properties>
</file>