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jn-svrfile\groups\AQ\PERMITS\AIRFACS\Hilcorp Alaska LLC\Grayling (69)\Minor\AQ0069MSS05\"/>
    </mc:Choice>
  </mc:AlternateContent>
  <xr:revisionPtr revIDLastSave="0" documentId="8_{7FDA30E4-C2CA-4324-A875-85D055680E08}" xr6:coauthVersionLast="47" xr6:coauthVersionMax="47" xr10:uidLastSave="{00000000-0000-0000-0000-000000000000}"/>
  <bookViews>
    <workbookView xWindow="2910" yWindow="345" windowWidth="21600" windowHeight="11385" tabRatio="855" firstSheet="1" activeTab="8" xr2:uid="{BC919B49-3C31-4619-A188-B73EB2019035}"/>
  </bookViews>
  <sheets>
    <sheet name="Emission Summary" sheetId="25" r:id="rId1"/>
    <sheet name="Sig. HAPs Summary" sheetId="23" r:id="rId2"/>
    <sheet name="Insig. HAPs Summary" sheetId="24" r:id="rId3"/>
    <sheet name="Inventory" sheetId="1" r:id="rId4"/>
    <sheet name="NOx" sheetId="2" r:id="rId5"/>
    <sheet name="CO" sheetId="27" r:id="rId6"/>
    <sheet name="PM-10" sheetId="29" r:id="rId7"/>
    <sheet name="VOC" sheetId="30" r:id="rId8"/>
    <sheet name="SO2" sheetId="31" r:id="rId9"/>
    <sheet name="CO2e" sheetId="32" r:id="rId10"/>
    <sheet name="HAPs - Turbines" sheetId="16" r:id="rId11"/>
    <sheet name="HAPs - Gas Boilers" sheetId="15" r:id="rId12"/>
    <sheet name="HAPs - Diesel Engines &lt; 600 hp" sheetId="33" r:id="rId13"/>
    <sheet name="HAPs - Diesel Engines &gt; 600" sheetId="34" r:id="rId14"/>
    <sheet name="HAPs - Flares" sheetId="17" r:id="rId15"/>
    <sheet name="HAPs - Diesel Heaters" sheetId="20" r:id="rId16"/>
    <sheet name="Diesel Tank" sheetId="39" r:id="rId17"/>
  </sheets>
  <definedNames>
    <definedName name="_xlnm.Print_Area" localSheetId="9">CO2e!$A$1:$AI$48</definedName>
    <definedName name="_xlnm.Print_Area" localSheetId="12">'HAPs - Diesel Engines &lt; 600 hp'!$A$1:$V$23</definedName>
    <definedName name="_xlnm.Print_Area" localSheetId="13">'HAPs - Diesel Engines &gt; 600'!$A$1:$L$20</definedName>
    <definedName name="_xlnm.Print_Area" localSheetId="14">'HAPs - Flares'!$A$1:$J$20</definedName>
    <definedName name="_xlnm.Print_Area" localSheetId="11">'HAPs - Gas Boilers'!$A$1:$J$35</definedName>
    <definedName name="_xlnm.Print_Area" localSheetId="10">'HAPs - Turbines'!$A$1:$AF$35</definedName>
    <definedName name="_xlnm.Print_Area" localSheetId="4">NOx!$A$1:$T$51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0" i="31" l="1"/>
  <c r="Q20" i="31"/>
  <c r="O20" i="31"/>
  <c r="G30" i="15"/>
  <c r="H30" i="15"/>
  <c r="C30" i="15"/>
  <c r="D30" i="15"/>
  <c r="B30" i="15"/>
  <c r="B29" i="25" l="1"/>
  <c r="A29" i="25"/>
  <c r="E32" i="31" l="1"/>
  <c r="D32" i="31"/>
  <c r="C32" i="31"/>
  <c r="B32" i="31"/>
  <c r="A32" i="31"/>
  <c r="E31" i="31"/>
  <c r="D31" i="31"/>
  <c r="C31" i="31"/>
  <c r="B31" i="31"/>
  <c r="A31" i="31"/>
  <c r="E30" i="31"/>
  <c r="D30" i="31"/>
  <c r="C30" i="31"/>
  <c r="B30" i="31"/>
  <c r="A30" i="31"/>
  <c r="E29" i="31"/>
  <c r="D29" i="31"/>
  <c r="C29" i="31"/>
  <c r="B29" i="31"/>
  <c r="A29" i="31"/>
  <c r="E28" i="31"/>
  <c r="D28" i="31"/>
  <c r="C28" i="31"/>
  <c r="B28" i="31"/>
  <c r="A28" i="31"/>
  <c r="E27" i="31"/>
  <c r="D27" i="31"/>
  <c r="C27" i="31"/>
  <c r="B27" i="31"/>
  <c r="A27" i="31"/>
  <c r="E26" i="31"/>
  <c r="D26" i="31"/>
  <c r="C26" i="31"/>
  <c r="B26" i="31"/>
  <c r="A26" i="31"/>
  <c r="J31" i="29"/>
  <c r="I31" i="29"/>
  <c r="E32" i="1"/>
  <c r="E17" i="1"/>
  <c r="F32" i="32" l="1"/>
  <c r="G32" i="32"/>
  <c r="F33" i="32"/>
  <c r="G33" i="32"/>
  <c r="R33" i="32"/>
  <c r="A32" i="32"/>
  <c r="B32" i="32"/>
  <c r="C32" i="32"/>
  <c r="D32" i="32"/>
  <c r="E32" i="32"/>
  <c r="A33" i="32"/>
  <c r="B33" i="32"/>
  <c r="C33" i="32"/>
  <c r="E33" i="32"/>
  <c r="J31" i="31"/>
  <c r="I31" i="31"/>
  <c r="J31" i="30"/>
  <c r="I31" i="30"/>
  <c r="J32" i="30"/>
  <c r="I32" i="30"/>
  <c r="E32" i="30"/>
  <c r="C32" i="30"/>
  <c r="B32" i="30"/>
  <c r="A32" i="30"/>
  <c r="E31" i="30"/>
  <c r="D31" i="30"/>
  <c r="C31" i="30"/>
  <c r="B31" i="30"/>
  <c r="A31" i="30"/>
  <c r="J32" i="29"/>
  <c r="I32" i="29"/>
  <c r="E32" i="29"/>
  <c r="C32" i="29"/>
  <c r="B32" i="29"/>
  <c r="A32" i="29"/>
  <c r="E31" i="29"/>
  <c r="D31" i="29"/>
  <c r="K31" i="29" s="1"/>
  <c r="C31" i="29"/>
  <c r="B31" i="29"/>
  <c r="A31" i="29"/>
  <c r="J33" i="27"/>
  <c r="I33" i="27"/>
  <c r="E33" i="27"/>
  <c r="C33" i="27"/>
  <c r="B33" i="27"/>
  <c r="A33" i="27"/>
  <c r="J32" i="27"/>
  <c r="I32" i="27"/>
  <c r="E32" i="27"/>
  <c r="D32" i="27"/>
  <c r="C32" i="27"/>
  <c r="B32" i="27"/>
  <c r="A32" i="27"/>
  <c r="A32" i="2"/>
  <c r="B32" i="2"/>
  <c r="C32" i="2"/>
  <c r="D32" i="2"/>
  <c r="E32" i="2"/>
  <c r="I32" i="2"/>
  <c r="J32" i="2"/>
  <c r="A33" i="2"/>
  <c r="B33" i="2"/>
  <c r="C33" i="2"/>
  <c r="E33" i="2"/>
  <c r="I33" i="2"/>
  <c r="J33" i="2"/>
  <c r="O31" i="29" l="1"/>
  <c r="E29" i="25"/>
  <c r="K32" i="27"/>
  <c r="O31" i="31"/>
  <c r="K31" i="31"/>
  <c r="G29" i="25" s="1"/>
  <c r="K32" i="2"/>
  <c r="O32" i="2" s="1"/>
  <c r="L32" i="32"/>
  <c r="P32" i="32"/>
  <c r="K31" i="30"/>
  <c r="N32" i="32"/>
  <c r="R32" i="32" l="1"/>
  <c r="H29" i="25" s="1"/>
  <c r="O31" i="30"/>
  <c r="F29" i="25"/>
  <c r="D29" i="25"/>
  <c r="D64" i="25"/>
  <c r="A2" i="39"/>
  <c r="D49" i="39"/>
  <c r="D48" i="39"/>
  <c r="B21" i="39"/>
  <c r="B16" i="39"/>
  <c r="B7" i="39"/>
  <c r="B8" i="39" s="1"/>
  <c r="B6" i="39" l="1"/>
  <c r="B17" i="39"/>
  <c r="B9" i="39"/>
  <c r="B10" i="39" l="1"/>
  <c r="B11" i="39" l="1"/>
  <c r="B14" i="39"/>
  <c r="B12" i="39" l="1"/>
  <c r="B13" i="39" s="1"/>
  <c r="B15" i="39" l="1"/>
  <c r="B18" i="39" l="1"/>
  <c r="D32" i="30" l="1"/>
  <c r="D33" i="2"/>
  <c r="K33" i="2" s="1"/>
  <c r="D32" i="29"/>
  <c r="K32" i="29" s="1"/>
  <c r="D33" i="32"/>
  <c r="D33" i="27"/>
  <c r="K33" i="27" s="1"/>
  <c r="F6" i="39"/>
  <c r="F11" i="39" s="1"/>
  <c r="E20" i="17"/>
  <c r="E13" i="32"/>
  <c r="E14" i="32"/>
  <c r="D13" i="32"/>
  <c r="D14" i="32"/>
  <c r="E13" i="31"/>
  <c r="E14" i="31"/>
  <c r="D13" i="31"/>
  <c r="D14" i="31"/>
  <c r="E13" i="30"/>
  <c r="E14" i="30"/>
  <c r="D13" i="30"/>
  <c r="D14" i="30"/>
  <c r="E13" i="29"/>
  <c r="E14" i="29"/>
  <c r="D13" i="29"/>
  <c r="D14" i="29"/>
  <c r="E13" i="27"/>
  <c r="E14" i="27"/>
  <c r="D13" i="27"/>
  <c r="D14" i="27"/>
  <c r="D13" i="2"/>
  <c r="D14" i="2"/>
  <c r="E13" i="2"/>
  <c r="E14" i="2"/>
  <c r="H9" i="24"/>
  <c r="H16" i="24"/>
  <c r="G9" i="24"/>
  <c r="G16" i="24"/>
  <c r="O34" i="23"/>
  <c r="O33" i="23"/>
  <c r="O28" i="23"/>
  <c r="M33" i="23"/>
  <c r="M31" i="23"/>
  <c r="M29" i="23"/>
  <c r="M28" i="23"/>
  <c r="M34" i="23"/>
  <c r="N34" i="23"/>
  <c r="L34" i="23"/>
  <c r="K34" i="23"/>
  <c r="N33" i="23"/>
  <c r="L33" i="23"/>
  <c r="K33" i="23"/>
  <c r="N31" i="23"/>
  <c r="L31" i="23"/>
  <c r="K31" i="23"/>
  <c r="N29" i="23"/>
  <c r="L29" i="23"/>
  <c r="K29" i="23"/>
  <c r="B26" i="39" l="1"/>
  <c r="B20" i="39"/>
  <c r="B23" i="39" s="1"/>
  <c r="B24" i="39" s="1"/>
  <c r="J18" i="34"/>
  <c r="I12" i="34" s="1"/>
  <c r="G18" i="34"/>
  <c r="D18" i="34"/>
  <c r="B27" i="39" l="1"/>
  <c r="I6" i="34"/>
  <c r="I7" i="34"/>
  <c r="I8" i="34"/>
  <c r="I10" i="34"/>
  <c r="I9" i="34"/>
  <c r="I11" i="34"/>
  <c r="G32" i="30" l="1"/>
  <c r="B29" i="39"/>
  <c r="D19" i="2"/>
  <c r="E19" i="2"/>
  <c r="M13" i="2"/>
  <c r="S13" i="2" s="1"/>
  <c r="M5" i="30"/>
  <c r="N5" i="30"/>
  <c r="M6" i="30"/>
  <c r="N6" i="30"/>
  <c r="M7" i="30"/>
  <c r="N7" i="30"/>
  <c r="M8" i="30"/>
  <c r="N8" i="30"/>
  <c r="B35" i="39" l="1"/>
  <c r="I14" i="24" s="1"/>
  <c r="B36" i="39"/>
  <c r="I16" i="24" s="1"/>
  <c r="B31" i="39"/>
  <c r="I6" i="24" s="1"/>
  <c r="B32" i="39"/>
  <c r="I7" i="24" s="1"/>
  <c r="B33" i="39"/>
  <c r="I9" i="24" s="1"/>
  <c r="B34" i="39"/>
  <c r="I11" i="24" s="1"/>
  <c r="O32" i="30"/>
  <c r="K32" i="30"/>
  <c r="G18" i="30"/>
  <c r="J7" i="24" l="1"/>
  <c r="G18" i="29"/>
  <c r="N7" i="27"/>
  <c r="M7" i="27"/>
  <c r="G19" i="27"/>
  <c r="I19" i="2"/>
  <c r="I27" i="24" l="1"/>
  <c r="G19" i="2"/>
  <c r="O19" i="2" s="1"/>
  <c r="N13" i="2" l="1"/>
  <c r="K20" i="1"/>
  <c r="M15" i="31" l="1"/>
  <c r="M15" i="30"/>
  <c r="M15" i="29"/>
  <c r="D39" i="2"/>
  <c r="G5" i="2" s="1"/>
  <c r="G6" i="2" l="1"/>
  <c r="G7" i="2"/>
  <c r="A30" i="32"/>
  <c r="B30" i="32"/>
  <c r="C30" i="32"/>
  <c r="D30" i="32"/>
  <c r="E30" i="32"/>
  <c r="F30" i="32"/>
  <c r="G30" i="32"/>
  <c r="A31" i="32"/>
  <c r="B31" i="32"/>
  <c r="C31" i="32"/>
  <c r="D31" i="32"/>
  <c r="E31" i="32"/>
  <c r="F31" i="32"/>
  <c r="G31" i="32"/>
  <c r="I29" i="31"/>
  <c r="K29" i="31" s="1"/>
  <c r="J29" i="31"/>
  <c r="I30" i="31"/>
  <c r="K30" i="31" s="1"/>
  <c r="J30" i="31"/>
  <c r="I29" i="30"/>
  <c r="J29" i="30"/>
  <c r="I30" i="30"/>
  <c r="J30" i="30"/>
  <c r="A29" i="30"/>
  <c r="B29" i="30"/>
  <c r="C29" i="30"/>
  <c r="D29" i="30"/>
  <c r="E29" i="30"/>
  <c r="A30" i="30"/>
  <c r="B30" i="30"/>
  <c r="C30" i="30"/>
  <c r="D30" i="30"/>
  <c r="E30" i="30"/>
  <c r="I29" i="29"/>
  <c r="J29" i="29"/>
  <c r="I30" i="29"/>
  <c r="J30" i="29"/>
  <c r="A29" i="29"/>
  <c r="B29" i="29"/>
  <c r="C29" i="29"/>
  <c r="D29" i="29"/>
  <c r="E29" i="29"/>
  <c r="A30" i="29"/>
  <c r="B30" i="29"/>
  <c r="C30" i="29"/>
  <c r="D30" i="29"/>
  <c r="E30" i="29"/>
  <c r="I30" i="27"/>
  <c r="J30" i="27"/>
  <c r="I31" i="27"/>
  <c r="J31" i="27"/>
  <c r="A30" i="27"/>
  <c r="B30" i="27"/>
  <c r="C30" i="27"/>
  <c r="D30" i="27"/>
  <c r="E30" i="27"/>
  <c r="A31" i="27"/>
  <c r="B31" i="27"/>
  <c r="C31" i="27"/>
  <c r="D31" i="27"/>
  <c r="E31" i="27"/>
  <c r="I30" i="2"/>
  <c r="J30" i="2"/>
  <c r="I31" i="2"/>
  <c r="J31" i="2"/>
  <c r="A30" i="2"/>
  <c r="B30" i="2"/>
  <c r="C30" i="2"/>
  <c r="D30" i="2"/>
  <c r="E30" i="2"/>
  <c r="A31" i="2"/>
  <c r="B31" i="2"/>
  <c r="C31" i="2"/>
  <c r="D31" i="2"/>
  <c r="E31" i="2"/>
  <c r="G29" i="15"/>
  <c r="H29" i="15"/>
  <c r="H28" i="15"/>
  <c r="G28" i="15"/>
  <c r="D28" i="15"/>
  <c r="D29" i="15"/>
  <c r="C29" i="15"/>
  <c r="C28" i="15"/>
  <c r="B29" i="15"/>
  <c r="B28" i="15"/>
  <c r="A27" i="25"/>
  <c r="B27" i="25"/>
  <c r="A28" i="25"/>
  <c r="B28" i="25"/>
  <c r="P31" i="23"/>
  <c r="H31" i="23"/>
  <c r="G31" i="23"/>
  <c r="F31" i="23"/>
  <c r="C31" i="23"/>
  <c r="K30" i="27" l="1"/>
  <c r="O30" i="27" s="1"/>
  <c r="K29" i="30"/>
  <c r="F27" i="25" s="1"/>
  <c r="F62" i="25" s="1"/>
  <c r="F96" i="25" s="1"/>
  <c r="D27" i="25"/>
  <c r="D62" i="25"/>
  <c r="B63" i="25"/>
  <c r="B97" i="25"/>
  <c r="A63" i="25"/>
  <c r="A97" i="25"/>
  <c r="B98" i="25"/>
  <c r="B64" i="25"/>
  <c r="B96" i="25"/>
  <c r="B62" i="25"/>
  <c r="A64" i="25"/>
  <c r="A98" i="25"/>
  <c r="A96" i="25"/>
  <c r="A62" i="25"/>
  <c r="P31" i="32"/>
  <c r="L30" i="32"/>
  <c r="K31" i="27"/>
  <c r="O31" i="27" s="1"/>
  <c r="O32" i="27" s="1"/>
  <c r="K30" i="29"/>
  <c r="K29" i="29"/>
  <c r="K30" i="30"/>
  <c r="L31" i="32"/>
  <c r="N30" i="32"/>
  <c r="N31" i="32"/>
  <c r="P30" i="32"/>
  <c r="K31" i="2"/>
  <c r="K30" i="2"/>
  <c r="J31" i="23"/>
  <c r="O29" i="30" l="1"/>
  <c r="E28" i="25"/>
  <c r="E63" i="25" s="1"/>
  <c r="E97" i="25" s="1"/>
  <c r="O30" i="29"/>
  <c r="F64" i="25"/>
  <c r="F98" i="25" s="1"/>
  <c r="F28" i="25"/>
  <c r="F63" i="25" s="1"/>
  <c r="F97" i="25" s="1"/>
  <c r="O30" i="30"/>
  <c r="G64" i="25"/>
  <c r="G98" i="25" s="1"/>
  <c r="E64" i="25"/>
  <c r="E98" i="25" s="1"/>
  <c r="G28" i="25"/>
  <c r="G63" i="25" s="1"/>
  <c r="G97" i="25" s="1"/>
  <c r="O30" i="31"/>
  <c r="E27" i="25"/>
  <c r="E62" i="25" s="1"/>
  <c r="E96" i="25" s="1"/>
  <c r="O29" i="29"/>
  <c r="G27" i="25"/>
  <c r="G62" i="25" s="1"/>
  <c r="G96" i="25" s="1"/>
  <c r="O29" i="31"/>
  <c r="C27" i="25"/>
  <c r="C62" i="25" s="1"/>
  <c r="C96" i="25" s="1"/>
  <c r="O30" i="2"/>
  <c r="C29" i="25"/>
  <c r="C64" i="25" s="1"/>
  <c r="C98" i="25" s="1"/>
  <c r="C28" i="25"/>
  <c r="C63" i="25" s="1"/>
  <c r="C97" i="25" s="1"/>
  <c r="O31" i="2"/>
  <c r="D98" i="25"/>
  <c r="D28" i="25"/>
  <c r="D63" i="25"/>
  <c r="D97" i="25" s="1"/>
  <c r="H64" i="25"/>
  <c r="H98" i="25" s="1"/>
  <c r="R30" i="32"/>
  <c r="H27" i="25" s="1"/>
  <c r="H62" i="25" s="1"/>
  <c r="H96" i="25" s="1"/>
  <c r="R31" i="32"/>
  <c r="H28" i="25" s="1"/>
  <c r="H63" i="25" s="1"/>
  <c r="H97" i="25" s="1"/>
  <c r="I31" i="23"/>
  <c r="D31" i="23"/>
  <c r="E31" i="23"/>
  <c r="D28" i="20"/>
  <c r="C28" i="20"/>
  <c r="E29" i="20" s="1"/>
  <c r="G20" i="17"/>
  <c r="G8" i="17"/>
  <c r="B18" i="34"/>
  <c r="A2" i="34"/>
  <c r="P21" i="33"/>
  <c r="O21" i="33"/>
  <c r="O20" i="33"/>
  <c r="P20" i="33"/>
  <c r="P19" i="33"/>
  <c r="O19" i="33"/>
  <c r="L21" i="33"/>
  <c r="K21" i="33"/>
  <c r="K20" i="33"/>
  <c r="L20" i="33"/>
  <c r="L19" i="33"/>
  <c r="K19" i="33"/>
  <c r="G21" i="33"/>
  <c r="G20" i="33"/>
  <c r="G19" i="33"/>
  <c r="D21" i="33"/>
  <c r="C21" i="33"/>
  <c r="C20" i="33"/>
  <c r="D20" i="33"/>
  <c r="D19" i="33"/>
  <c r="C19" i="33"/>
  <c r="B20" i="33"/>
  <c r="B21" i="33"/>
  <c r="B19" i="33"/>
  <c r="E21" i="33" l="1"/>
  <c r="I7" i="33" s="1"/>
  <c r="N7" i="23" s="1"/>
  <c r="E20" i="33"/>
  <c r="G6" i="33" s="1"/>
  <c r="L6" i="23" s="1"/>
  <c r="M44" i="23"/>
  <c r="E19" i="20"/>
  <c r="D23" i="24" s="1"/>
  <c r="E16" i="20"/>
  <c r="D19" i="24" s="1"/>
  <c r="E22" i="20"/>
  <c r="D26" i="24" s="1"/>
  <c r="E15" i="20"/>
  <c r="D18" i="24" s="1"/>
  <c r="E21" i="20"/>
  <c r="D25" i="24" s="1"/>
  <c r="E20" i="20"/>
  <c r="D24" i="24" s="1"/>
  <c r="E18" i="20"/>
  <c r="D22" i="24" s="1"/>
  <c r="E14" i="20"/>
  <c r="E17" i="20"/>
  <c r="D20" i="24" s="1"/>
  <c r="E19" i="33"/>
  <c r="E7" i="33" s="1"/>
  <c r="K7" i="23" s="1"/>
  <c r="I19" i="33"/>
  <c r="K13" i="33" s="1"/>
  <c r="K36" i="23" s="1"/>
  <c r="I20" i="33"/>
  <c r="M10" i="33" s="1"/>
  <c r="L30" i="23" s="1"/>
  <c r="I21" i="33"/>
  <c r="M19" i="33"/>
  <c r="M20" i="33"/>
  <c r="M21" i="33"/>
  <c r="E28" i="20"/>
  <c r="E12" i="20" s="1"/>
  <c r="D15" i="24" s="1"/>
  <c r="J15" i="24" s="1"/>
  <c r="G7" i="34"/>
  <c r="M26" i="23" s="1"/>
  <c r="E6" i="34"/>
  <c r="M6" i="23" s="1"/>
  <c r="A2" i="33"/>
  <c r="D35" i="15"/>
  <c r="C35" i="15"/>
  <c r="D32" i="15"/>
  <c r="C32" i="15"/>
  <c r="D31" i="15"/>
  <c r="C31" i="15"/>
  <c r="C34" i="15"/>
  <c r="L30" i="16"/>
  <c r="K30" i="16"/>
  <c r="K23" i="16"/>
  <c r="L23" i="16"/>
  <c r="K24" i="16"/>
  <c r="L24" i="16"/>
  <c r="K25" i="16"/>
  <c r="L25" i="16"/>
  <c r="K26" i="16"/>
  <c r="L26" i="16"/>
  <c r="K27" i="16"/>
  <c r="L27" i="16"/>
  <c r="K28" i="16"/>
  <c r="L28" i="16"/>
  <c r="K29" i="16"/>
  <c r="L29" i="16"/>
  <c r="L22" i="16"/>
  <c r="K22" i="16"/>
  <c r="G23" i="16"/>
  <c r="H23" i="16"/>
  <c r="G24" i="16"/>
  <c r="H24" i="16"/>
  <c r="G25" i="16"/>
  <c r="H25" i="16"/>
  <c r="G26" i="16"/>
  <c r="H26" i="16"/>
  <c r="G27" i="16"/>
  <c r="H27" i="16"/>
  <c r="G28" i="16"/>
  <c r="H28" i="16"/>
  <c r="G29" i="16"/>
  <c r="G30" i="16" s="1"/>
  <c r="H29" i="16"/>
  <c r="H30" i="16" s="1"/>
  <c r="H22" i="16"/>
  <c r="G22" i="16"/>
  <c r="D30" i="16"/>
  <c r="C30" i="16"/>
  <c r="C23" i="16"/>
  <c r="D23" i="16"/>
  <c r="C24" i="16"/>
  <c r="D24" i="16"/>
  <c r="C25" i="16"/>
  <c r="D25" i="16"/>
  <c r="C26" i="16"/>
  <c r="D26" i="16"/>
  <c r="C27" i="16"/>
  <c r="D27" i="16"/>
  <c r="C28" i="16"/>
  <c r="D28" i="16"/>
  <c r="C29" i="16"/>
  <c r="D29" i="16"/>
  <c r="D22" i="16"/>
  <c r="C22" i="16"/>
  <c r="B30" i="16"/>
  <c r="B29" i="16"/>
  <c r="B23" i="16"/>
  <c r="B24" i="16"/>
  <c r="B25" i="16"/>
  <c r="B26" i="16"/>
  <c r="B27" i="16"/>
  <c r="B28" i="16"/>
  <c r="B22" i="16"/>
  <c r="E28" i="15" l="1"/>
  <c r="E7" i="15" s="1"/>
  <c r="F8" i="24" s="1"/>
  <c r="E30" i="15"/>
  <c r="I13" i="33"/>
  <c r="N17" i="23" s="1"/>
  <c r="G9" i="33"/>
  <c r="L9" i="23" s="1"/>
  <c r="G11" i="33"/>
  <c r="L13" i="23" s="1"/>
  <c r="G8" i="24"/>
  <c r="H8" i="24"/>
  <c r="G12" i="33"/>
  <c r="L16" i="23" s="1"/>
  <c r="I6" i="33"/>
  <c r="N6" i="23" s="1"/>
  <c r="M11" i="33"/>
  <c r="L32" i="23" s="1"/>
  <c r="I9" i="33"/>
  <c r="N9" i="23" s="1"/>
  <c r="I8" i="33"/>
  <c r="N8" i="23" s="1"/>
  <c r="I10" i="33"/>
  <c r="N11" i="23" s="1"/>
  <c r="I11" i="33"/>
  <c r="N13" i="23" s="1"/>
  <c r="I12" i="33"/>
  <c r="N16" i="23" s="1"/>
  <c r="G13" i="33"/>
  <c r="L17" i="23" s="1"/>
  <c r="G7" i="33"/>
  <c r="L7" i="23" s="1"/>
  <c r="G8" i="33"/>
  <c r="L8" i="23" s="1"/>
  <c r="K7" i="33"/>
  <c r="K26" i="23" s="1"/>
  <c r="K10" i="33"/>
  <c r="K30" i="23" s="1"/>
  <c r="K12" i="33"/>
  <c r="K35" i="23" s="1"/>
  <c r="G10" i="33"/>
  <c r="L11" i="23" s="1"/>
  <c r="K8" i="33"/>
  <c r="K27" i="23" s="1"/>
  <c r="M6" i="33"/>
  <c r="L25" i="23" s="1"/>
  <c r="K11" i="33"/>
  <c r="K32" i="23" s="1"/>
  <c r="E10" i="33"/>
  <c r="K11" i="23" s="1"/>
  <c r="M8" i="33"/>
  <c r="L27" i="23" s="1"/>
  <c r="E11" i="33"/>
  <c r="K13" i="23" s="1"/>
  <c r="M9" i="33"/>
  <c r="L28" i="23" s="1"/>
  <c r="E9" i="33"/>
  <c r="K9" i="23" s="1"/>
  <c r="E6" i="33"/>
  <c r="K6" i="23" s="1"/>
  <c r="Q10" i="33"/>
  <c r="K49" i="23" s="1"/>
  <c r="Q13" i="33"/>
  <c r="K55" i="23" s="1"/>
  <c r="Q9" i="33"/>
  <c r="K47" i="23" s="1"/>
  <c r="Q8" i="33"/>
  <c r="K46" i="23" s="1"/>
  <c r="Q7" i="33"/>
  <c r="K45" i="23" s="1"/>
  <c r="Q6" i="33"/>
  <c r="K44" i="23" s="1"/>
  <c r="Q12" i="33"/>
  <c r="K54" i="23" s="1"/>
  <c r="Q11" i="33"/>
  <c r="K51" i="23" s="1"/>
  <c r="U10" i="33"/>
  <c r="N49" i="23" s="1"/>
  <c r="U11" i="33"/>
  <c r="N51" i="23" s="1"/>
  <c r="U9" i="33"/>
  <c r="N47" i="23" s="1"/>
  <c r="U8" i="33"/>
  <c r="N46" i="23" s="1"/>
  <c r="U7" i="33"/>
  <c r="N45" i="23" s="1"/>
  <c r="U6" i="33"/>
  <c r="N44" i="23" s="1"/>
  <c r="U13" i="33"/>
  <c r="N55" i="23" s="1"/>
  <c r="U12" i="33"/>
  <c r="N54" i="23" s="1"/>
  <c r="S10" i="33"/>
  <c r="L49" i="23" s="1"/>
  <c r="S9" i="33"/>
  <c r="L47" i="23" s="1"/>
  <c r="S8" i="33"/>
  <c r="L46" i="23" s="1"/>
  <c r="S6" i="33"/>
  <c r="L44" i="23" s="1"/>
  <c r="S12" i="33"/>
  <c r="L54" i="23" s="1"/>
  <c r="S11" i="33"/>
  <c r="L51" i="23" s="1"/>
  <c r="S7" i="33"/>
  <c r="L45" i="23" s="1"/>
  <c r="S13" i="33"/>
  <c r="L55" i="23" s="1"/>
  <c r="E14" i="15"/>
  <c r="F18" i="24" s="1"/>
  <c r="E22" i="15"/>
  <c r="F26" i="24" s="1"/>
  <c r="E21" i="15"/>
  <c r="F25" i="24" s="1"/>
  <c r="E18" i="15"/>
  <c r="F22" i="24" s="1"/>
  <c r="E17" i="15"/>
  <c r="F21" i="24" s="1"/>
  <c r="E10" i="15"/>
  <c r="F12" i="24" s="1"/>
  <c r="E30" i="16"/>
  <c r="I30" i="16"/>
  <c r="E29" i="15"/>
  <c r="M46" i="23"/>
  <c r="M51" i="23"/>
  <c r="M49" i="23"/>
  <c r="M55" i="23"/>
  <c r="M45" i="23"/>
  <c r="M54" i="23"/>
  <c r="D17" i="24"/>
  <c r="E8" i="33"/>
  <c r="K8" i="23" s="1"/>
  <c r="E12" i="33"/>
  <c r="K16" i="23" s="1"/>
  <c r="M13" i="33"/>
  <c r="L36" i="23" s="1"/>
  <c r="M12" i="33"/>
  <c r="L35" i="23" s="1"/>
  <c r="E13" i="33"/>
  <c r="K17" i="23" s="1"/>
  <c r="M7" i="33"/>
  <c r="K6" i="33"/>
  <c r="K25" i="23" s="1"/>
  <c r="K9" i="33"/>
  <c r="K28" i="23" s="1"/>
  <c r="E31" i="15"/>
  <c r="E32" i="15"/>
  <c r="O6" i="33"/>
  <c r="N25" i="23" s="1"/>
  <c r="O9" i="33"/>
  <c r="N28" i="23" s="1"/>
  <c r="O13" i="33"/>
  <c r="N36" i="23" s="1"/>
  <c r="O12" i="33"/>
  <c r="N35" i="23" s="1"/>
  <c r="O11" i="33"/>
  <c r="N32" i="23" s="1"/>
  <c r="O8" i="33"/>
  <c r="N27" i="23" s="1"/>
  <c r="O10" i="33"/>
  <c r="N30" i="23" s="1"/>
  <c r="O7" i="33"/>
  <c r="N26" i="23" s="1"/>
  <c r="G9" i="34"/>
  <c r="M30" i="23" s="1"/>
  <c r="I13" i="34"/>
  <c r="G10" i="34"/>
  <c r="M32" i="23" s="1"/>
  <c r="E10" i="34"/>
  <c r="M13" i="23" s="1"/>
  <c r="G6" i="34"/>
  <c r="M25" i="23" s="1"/>
  <c r="G12" i="34"/>
  <c r="M36" i="23" s="1"/>
  <c r="E8" i="34"/>
  <c r="M8" i="23" s="1"/>
  <c r="E11" i="34"/>
  <c r="M16" i="23" s="1"/>
  <c r="G8" i="34"/>
  <c r="M27" i="23" s="1"/>
  <c r="E12" i="34"/>
  <c r="M17" i="23" s="1"/>
  <c r="G11" i="34"/>
  <c r="M35" i="23" s="1"/>
  <c r="E9" i="34"/>
  <c r="M11" i="23" s="1"/>
  <c r="E7" i="34"/>
  <c r="M7" i="23" s="1"/>
  <c r="I25" i="16"/>
  <c r="E28" i="16"/>
  <c r="E29" i="16"/>
  <c r="E27" i="16"/>
  <c r="I24" i="16"/>
  <c r="E26" i="16"/>
  <c r="I6" i="16" s="1"/>
  <c r="E24" i="16"/>
  <c r="E22" i="16"/>
  <c r="E6" i="16" s="1"/>
  <c r="I23" i="16"/>
  <c r="E23" i="16"/>
  <c r="I26" i="16"/>
  <c r="E25" i="16"/>
  <c r="I27" i="16"/>
  <c r="I28" i="16"/>
  <c r="I29" i="16"/>
  <c r="I22" i="16"/>
  <c r="M37" i="23" l="1"/>
  <c r="H21" i="24"/>
  <c r="G21" i="24"/>
  <c r="G22" i="24"/>
  <c r="H22" i="24"/>
  <c r="G25" i="24"/>
  <c r="H25" i="24"/>
  <c r="G26" i="24"/>
  <c r="H26" i="24"/>
  <c r="H12" i="24"/>
  <c r="G12" i="24"/>
  <c r="G18" i="24"/>
  <c r="H18" i="24"/>
  <c r="N18" i="23"/>
  <c r="I21" i="25" s="1"/>
  <c r="L18" i="23"/>
  <c r="I19" i="25" s="1"/>
  <c r="G14" i="33"/>
  <c r="L56" i="23"/>
  <c r="I88" i="25" s="1"/>
  <c r="N56" i="23"/>
  <c r="I90" i="25" s="1"/>
  <c r="K56" i="23"/>
  <c r="I87" i="25" s="1"/>
  <c r="Q14" i="33"/>
  <c r="U14" i="33"/>
  <c r="S14" i="33"/>
  <c r="G17" i="15"/>
  <c r="C21" i="24" s="1"/>
  <c r="J21" i="24" s="1"/>
  <c r="G9" i="15"/>
  <c r="C11" i="24" s="1"/>
  <c r="G21" i="15"/>
  <c r="C25" i="24" s="1"/>
  <c r="G20" i="15"/>
  <c r="C24" i="24" s="1"/>
  <c r="G16" i="15"/>
  <c r="C20" i="24" s="1"/>
  <c r="G8" i="15"/>
  <c r="C10" i="24" s="1"/>
  <c r="G12" i="15"/>
  <c r="C14" i="24" s="1"/>
  <c r="G19" i="15"/>
  <c r="C23" i="24" s="1"/>
  <c r="G15" i="15"/>
  <c r="C19" i="24" s="1"/>
  <c r="G7" i="15"/>
  <c r="C8" i="24" s="1"/>
  <c r="G13" i="15"/>
  <c r="C17" i="24" s="1"/>
  <c r="G10" i="15"/>
  <c r="C12" i="24" s="1"/>
  <c r="G22" i="15"/>
  <c r="C26" i="24" s="1"/>
  <c r="G14" i="15"/>
  <c r="C18" i="24" s="1"/>
  <c r="G6" i="15"/>
  <c r="C6" i="24" s="1"/>
  <c r="G11" i="15"/>
  <c r="C13" i="24" s="1"/>
  <c r="G18" i="15"/>
  <c r="C22" i="24" s="1"/>
  <c r="I22" i="15"/>
  <c r="E26" i="24" s="1"/>
  <c r="I14" i="15"/>
  <c r="E18" i="24" s="1"/>
  <c r="I6" i="15"/>
  <c r="I17" i="15"/>
  <c r="E21" i="24" s="1"/>
  <c r="I16" i="15"/>
  <c r="E20" i="24" s="1"/>
  <c r="I7" i="15"/>
  <c r="E8" i="24" s="1"/>
  <c r="I21" i="15"/>
  <c r="E25" i="24" s="1"/>
  <c r="I13" i="15"/>
  <c r="E17" i="24" s="1"/>
  <c r="I10" i="15"/>
  <c r="I9" i="15"/>
  <c r="E11" i="24" s="1"/>
  <c r="I15" i="15"/>
  <c r="E19" i="24" s="1"/>
  <c r="I20" i="15"/>
  <c r="E24" i="24" s="1"/>
  <c r="I12" i="15"/>
  <c r="E14" i="24" s="1"/>
  <c r="I8" i="15"/>
  <c r="E10" i="24" s="1"/>
  <c r="I19" i="15"/>
  <c r="E23" i="24" s="1"/>
  <c r="I11" i="15"/>
  <c r="E13" i="24" s="1"/>
  <c r="I18" i="15"/>
  <c r="E22" i="24" s="1"/>
  <c r="K9" i="16"/>
  <c r="H9" i="23" s="1"/>
  <c r="H28" i="23" s="1"/>
  <c r="K14" i="16"/>
  <c r="H15" i="23" s="1"/>
  <c r="H34" i="23" s="1"/>
  <c r="K15" i="16"/>
  <c r="H16" i="23" s="1"/>
  <c r="H35" i="23" s="1"/>
  <c r="Y14" i="16"/>
  <c r="H53" i="23" s="1"/>
  <c r="Y9" i="16"/>
  <c r="H47" i="23" s="1"/>
  <c r="Y15" i="16"/>
  <c r="H54" i="23" s="1"/>
  <c r="S15" i="16"/>
  <c r="E54" i="23" s="1"/>
  <c r="S14" i="16"/>
  <c r="E53" i="23" s="1"/>
  <c r="S9" i="16"/>
  <c r="E47" i="23" s="1"/>
  <c r="Q15" i="16"/>
  <c r="D54" i="23" s="1"/>
  <c r="Q9" i="16"/>
  <c r="D47" i="23" s="1"/>
  <c r="Q14" i="16"/>
  <c r="D53" i="23" s="1"/>
  <c r="E14" i="16"/>
  <c r="C15" i="23" s="1"/>
  <c r="E9" i="16"/>
  <c r="C9" i="23" s="1"/>
  <c r="E15" i="16"/>
  <c r="C16" i="23" s="1"/>
  <c r="U15" i="16"/>
  <c r="F54" i="23" s="1"/>
  <c r="U9" i="16"/>
  <c r="F47" i="23" s="1"/>
  <c r="U14" i="16"/>
  <c r="F53" i="23" s="1"/>
  <c r="AA9" i="16"/>
  <c r="I47" i="23" s="1"/>
  <c r="AA14" i="16"/>
  <c r="I53" i="23" s="1"/>
  <c r="AA15" i="16"/>
  <c r="I54" i="23" s="1"/>
  <c r="I14" i="16"/>
  <c r="G15" i="23" s="1"/>
  <c r="I9" i="16"/>
  <c r="G9" i="23" s="1"/>
  <c r="I15" i="16"/>
  <c r="G16" i="23" s="1"/>
  <c r="AE15" i="16"/>
  <c r="P54" i="23" s="1"/>
  <c r="AE14" i="16"/>
  <c r="P53" i="23" s="1"/>
  <c r="AE9" i="16"/>
  <c r="P47" i="23" s="1"/>
  <c r="O6" i="16"/>
  <c r="C44" i="23" s="1"/>
  <c r="O9" i="16"/>
  <c r="C47" i="23" s="1"/>
  <c r="O15" i="16"/>
  <c r="C54" i="23" s="1"/>
  <c r="O14" i="16"/>
  <c r="C53" i="23" s="1"/>
  <c r="G15" i="16"/>
  <c r="F16" i="23" s="1"/>
  <c r="F35" i="23" s="1"/>
  <c r="G14" i="16"/>
  <c r="F15" i="23" s="1"/>
  <c r="F34" i="23" s="1"/>
  <c r="G9" i="16"/>
  <c r="F9" i="23" s="1"/>
  <c r="F28" i="23" s="1"/>
  <c r="AC9" i="16"/>
  <c r="J47" i="23" s="1"/>
  <c r="AC15" i="16"/>
  <c r="J54" i="23" s="1"/>
  <c r="AC14" i="16"/>
  <c r="J53" i="23" s="1"/>
  <c r="W14" i="16"/>
  <c r="G53" i="23" s="1"/>
  <c r="W15" i="16"/>
  <c r="G54" i="23" s="1"/>
  <c r="W9" i="16"/>
  <c r="G47" i="23" s="1"/>
  <c r="M9" i="16"/>
  <c r="M14" i="16"/>
  <c r="P15" i="23" s="1"/>
  <c r="P34" i="23" s="1"/>
  <c r="M15" i="16"/>
  <c r="P16" i="23" s="1"/>
  <c r="P35" i="23" s="1"/>
  <c r="E13" i="15"/>
  <c r="F17" i="24" s="1"/>
  <c r="E12" i="15"/>
  <c r="F14" i="24" s="1"/>
  <c r="E6" i="15"/>
  <c r="E11" i="15"/>
  <c r="F13" i="24" s="1"/>
  <c r="E20" i="15"/>
  <c r="F24" i="24" s="1"/>
  <c r="E9" i="15"/>
  <c r="F11" i="24" s="1"/>
  <c r="E19" i="15"/>
  <c r="F23" i="24" s="1"/>
  <c r="E8" i="15"/>
  <c r="F10" i="24" s="1"/>
  <c r="E16" i="15"/>
  <c r="F20" i="24" s="1"/>
  <c r="E15" i="15"/>
  <c r="F19" i="24" s="1"/>
  <c r="K37" i="23"/>
  <c r="I53" i="25" s="1"/>
  <c r="K18" i="23"/>
  <c r="I18" i="25" s="1"/>
  <c r="M56" i="23"/>
  <c r="I89" i="25" s="1"/>
  <c r="M14" i="33"/>
  <c r="L26" i="23"/>
  <c r="L37" i="23" s="1"/>
  <c r="I54" i="25" s="1"/>
  <c r="N37" i="23"/>
  <c r="I56" i="25" s="1"/>
  <c r="M18" i="23"/>
  <c r="I20" i="25" s="1"/>
  <c r="O14" i="33"/>
  <c r="G13" i="34"/>
  <c r="E13" i="34"/>
  <c r="M10" i="16"/>
  <c r="M7" i="16"/>
  <c r="M8" i="16"/>
  <c r="M6" i="16"/>
  <c r="P6" i="23" s="1"/>
  <c r="M16" i="16"/>
  <c r="P17" i="23" s="1"/>
  <c r="P36" i="23" s="1"/>
  <c r="M13" i="16"/>
  <c r="P14" i="23" s="1"/>
  <c r="P33" i="23" s="1"/>
  <c r="M12" i="16"/>
  <c r="P13" i="23" s="1"/>
  <c r="P32" i="23" s="1"/>
  <c r="M11" i="16"/>
  <c r="AA13" i="16"/>
  <c r="I52" i="23" s="1"/>
  <c r="AA12" i="16"/>
  <c r="I51" i="23" s="1"/>
  <c r="AA11" i="16"/>
  <c r="I49" i="23" s="1"/>
  <c r="AA10" i="16"/>
  <c r="I48" i="23" s="1"/>
  <c r="AA7" i="16"/>
  <c r="I45" i="23" s="1"/>
  <c r="AA8" i="16"/>
  <c r="I46" i="23" s="1"/>
  <c r="AA6" i="16"/>
  <c r="I44" i="23" s="1"/>
  <c r="AA16" i="16"/>
  <c r="I55" i="23" s="1"/>
  <c r="K11" i="16"/>
  <c r="H11" i="23" s="1"/>
  <c r="H30" i="23" s="1"/>
  <c r="K10" i="16"/>
  <c r="H10" i="23" s="1"/>
  <c r="H29" i="23" s="1"/>
  <c r="K12" i="16"/>
  <c r="H13" i="23" s="1"/>
  <c r="H32" i="23" s="1"/>
  <c r="K7" i="16"/>
  <c r="H7" i="23" s="1"/>
  <c r="H26" i="23" s="1"/>
  <c r="K8" i="16"/>
  <c r="H8" i="23" s="1"/>
  <c r="H27" i="23" s="1"/>
  <c r="K6" i="16"/>
  <c r="H6" i="23" s="1"/>
  <c r="K16" i="16"/>
  <c r="H17" i="23" s="1"/>
  <c r="H36" i="23" s="1"/>
  <c r="K13" i="16"/>
  <c r="H14" i="23" s="1"/>
  <c r="H33" i="23" s="1"/>
  <c r="Y16" i="16"/>
  <c r="H55" i="23" s="1"/>
  <c r="Y13" i="16"/>
  <c r="H52" i="23" s="1"/>
  <c r="Y12" i="16"/>
  <c r="H51" i="23" s="1"/>
  <c r="Y11" i="16"/>
  <c r="H49" i="23" s="1"/>
  <c r="Y10" i="16"/>
  <c r="H48" i="23" s="1"/>
  <c r="Y6" i="16"/>
  <c r="H44" i="23" s="1"/>
  <c r="Y7" i="16"/>
  <c r="H45" i="23" s="1"/>
  <c r="Y8" i="16"/>
  <c r="H46" i="23" s="1"/>
  <c r="U8" i="16"/>
  <c r="F46" i="23" s="1"/>
  <c r="U6" i="16"/>
  <c r="F44" i="23" s="1"/>
  <c r="U16" i="16"/>
  <c r="F55" i="23" s="1"/>
  <c r="U7" i="16"/>
  <c r="F45" i="23" s="1"/>
  <c r="U13" i="16"/>
  <c r="F52" i="23" s="1"/>
  <c r="U12" i="16"/>
  <c r="F51" i="23" s="1"/>
  <c r="U11" i="16"/>
  <c r="F49" i="23" s="1"/>
  <c r="U10" i="16"/>
  <c r="F48" i="23" s="1"/>
  <c r="AE11" i="16"/>
  <c r="P49" i="23" s="1"/>
  <c r="AE10" i="16"/>
  <c r="P48" i="23" s="1"/>
  <c r="AE7" i="16"/>
  <c r="P45" i="23" s="1"/>
  <c r="AE12" i="16"/>
  <c r="P51" i="23" s="1"/>
  <c r="AE8" i="16"/>
  <c r="P46" i="23" s="1"/>
  <c r="AE6" i="16"/>
  <c r="P44" i="23" s="1"/>
  <c r="AE16" i="16"/>
  <c r="P55" i="23" s="1"/>
  <c r="AE13" i="16"/>
  <c r="P52" i="23" s="1"/>
  <c r="AC12" i="16"/>
  <c r="J51" i="23" s="1"/>
  <c r="AC11" i="16"/>
  <c r="J49" i="23" s="1"/>
  <c r="AC13" i="16"/>
  <c r="J52" i="23" s="1"/>
  <c r="AC10" i="16"/>
  <c r="J48" i="23" s="1"/>
  <c r="AC7" i="16"/>
  <c r="J45" i="23" s="1"/>
  <c r="AC8" i="16"/>
  <c r="J46" i="23" s="1"/>
  <c r="AC6" i="16"/>
  <c r="J44" i="23" s="1"/>
  <c r="AC16" i="16"/>
  <c r="J55" i="23" s="1"/>
  <c r="W6" i="16"/>
  <c r="G44" i="23" s="1"/>
  <c r="W16" i="16"/>
  <c r="G55" i="23" s="1"/>
  <c r="W13" i="16"/>
  <c r="G52" i="23" s="1"/>
  <c r="W12" i="16"/>
  <c r="G51" i="23" s="1"/>
  <c r="W11" i="16"/>
  <c r="G49" i="23" s="1"/>
  <c r="W10" i="16"/>
  <c r="G48" i="23" s="1"/>
  <c r="W8" i="16"/>
  <c r="G46" i="23" s="1"/>
  <c r="W7" i="16"/>
  <c r="G45" i="23" s="1"/>
  <c r="E14" i="33"/>
  <c r="K14" i="33"/>
  <c r="I14" i="33"/>
  <c r="O13" i="16"/>
  <c r="C52" i="23" s="1"/>
  <c r="O10" i="16"/>
  <c r="C48" i="23" s="1"/>
  <c r="O12" i="16"/>
  <c r="C51" i="23" s="1"/>
  <c r="O8" i="16"/>
  <c r="C46" i="23" s="1"/>
  <c r="O7" i="16"/>
  <c r="C45" i="23" s="1"/>
  <c r="O16" i="16"/>
  <c r="C55" i="23" s="1"/>
  <c r="O11" i="16"/>
  <c r="C49" i="23" s="1"/>
  <c r="S6" i="16"/>
  <c r="E44" i="23" s="1"/>
  <c r="S12" i="16"/>
  <c r="E51" i="23" s="1"/>
  <c r="S8" i="16"/>
  <c r="E46" i="23" s="1"/>
  <c r="S16" i="16"/>
  <c r="E55" i="23" s="1"/>
  <c r="S11" i="16"/>
  <c r="E49" i="23" s="1"/>
  <c r="S7" i="16"/>
  <c r="E45" i="23" s="1"/>
  <c r="S10" i="16"/>
  <c r="E48" i="23" s="1"/>
  <c r="S13" i="16"/>
  <c r="E52" i="23" s="1"/>
  <c r="Q10" i="16"/>
  <c r="D48" i="23" s="1"/>
  <c r="Q6" i="16"/>
  <c r="D44" i="23" s="1"/>
  <c r="Q12" i="16"/>
  <c r="D51" i="23" s="1"/>
  <c r="Q8" i="16"/>
  <c r="D46" i="23" s="1"/>
  <c r="Q16" i="16"/>
  <c r="D55" i="23" s="1"/>
  <c r="Q11" i="16"/>
  <c r="D49" i="23" s="1"/>
  <c r="Q7" i="16"/>
  <c r="D45" i="23" s="1"/>
  <c r="Q13" i="16"/>
  <c r="D52" i="23" s="1"/>
  <c r="I8" i="16"/>
  <c r="G8" i="23" s="1"/>
  <c r="G6" i="23"/>
  <c r="I16" i="16"/>
  <c r="G17" i="23" s="1"/>
  <c r="I12" i="16"/>
  <c r="G13" i="23" s="1"/>
  <c r="I13" i="16"/>
  <c r="G14" i="23" s="1"/>
  <c r="I11" i="16"/>
  <c r="G11" i="23" s="1"/>
  <c r="I7" i="16"/>
  <c r="G7" i="23" s="1"/>
  <c r="I10" i="16"/>
  <c r="G10" i="23" s="1"/>
  <c r="G8" i="16"/>
  <c r="F8" i="23" s="1"/>
  <c r="F27" i="23" s="1"/>
  <c r="G6" i="16"/>
  <c r="F6" i="23" s="1"/>
  <c r="G7" i="16"/>
  <c r="F7" i="23" s="1"/>
  <c r="F26" i="23" s="1"/>
  <c r="G16" i="16"/>
  <c r="F17" i="23" s="1"/>
  <c r="F36" i="23" s="1"/>
  <c r="G13" i="16"/>
  <c r="F14" i="23" s="1"/>
  <c r="F33" i="23" s="1"/>
  <c r="G12" i="16"/>
  <c r="F13" i="23" s="1"/>
  <c r="F32" i="23" s="1"/>
  <c r="G11" i="16"/>
  <c r="F11" i="23" s="1"/>
  <c r="F30" i="23" s="1"/>
  <c r="G10" i="16"/>
  <c r="F10" i="23" s="1"/>
  <c r="F29" i="23" s="1"/>
  <c r="G29" i="32"/>
  <c r="F29" i="32"/>
  <c r="E29" i="32"/>
  <c r="D29" i="32"/>
  <c r="C29" i="32"/>
  <c r="B29" i="32"/>
  <c r="A29" i="32"/>
  <c r="G28" i="32"/>
  <c r="F28" i="32"/>
  <c r="E28" i="32"/>
  <c r="D28" i="32"/>
  <c r="C28" i="32"/>
  <c r="B28" i="32"/>
  <c r="A28" i="32"/>
  <c r="G27" i="32"/>
  <c r="F27" i="32"/>
  <c r="E27" i="32"/>
  <c r="D27" i="32"/>
  <c r="C27" i="32"/>
  <c r="B27" i="32"/>
  <c r="A27" i="32"/>
  <c r="K15" i="32"/>
  <c r="J15" i="32"/>
  <c r="I15" i="32"/>
  <c r="H15" i="32"/>
  <c r="G15" i="32"/>
  <c r="E15" i="32"/>
  <c r="D15" i="32"/>
  <c r="C15" i="32"/>
  <c r="B15" i="32"/>
  <c r="A15" i="32"/>
  <c r="C14" i="32"/>
  <c r="B14" i="32"/>
  <c r="A14" i="32"/>
  <c r="K13" i="32"/>
  <c r="J13" i="32"/>
  <c r="I13" i="32"/>
  <c r="H13" i="32"/>
  <c r="G13" i="32"/>
  <c r="F13" i="32"/>
  <c r="C13" i="32"/>
  <c r="B13" i="32"/>
  <c r="A13" i="32"/>
  <c r="K19" i="32"/>
  <c r="J19" i="32"/>
  <c r="I19" i="32"/>
  <c r="H19" i="32"/>
  <c r="F19" i="32"/>
  <c r="E19" i="32"/>
  <c r="D19" i="32"/>
  <c r="C19" i="32"/>
  <c r="B19" i="32"/>
  <c r="A19" i="32"/>
  <c r="K18" i="32"/>
  <c r="J18" i="32"/>
  <c r="I18" i="32"/>
  <c r="H18" i="32"/>
  <c r="F18" i="32"/>
  <c r="E18" i="32"/>
  <c r="D18" i="32"/>
  <c r="C18" i="32"/>
  <c r="B18" i="32"/>
  <c r="A18" i="32"/>
  <c r="K17" i="32"/>
  <c r="J17" i="32"/>
  <c r="I17" i="32"/>
  <c r="H17" i="32"/>
  <c r="F17" i="32"/>
  <c r="E17" i="32"/>
  <c r="D17" i="32"/>
  <c r="C17" i="32"/>
  <c r="B17" i="32"/>
  <c r="A17" i="32"/>
  <c r="K16" i="32"/>
  <c r="J16" i="32"/>
  <c r="I16" i="32"/>
  <c r="H16" i="32"/>
  <c r="F16" i="32"/>
  <c r="E16" i="32"/>
  <c r="D16" i="32"/>
  <c r="C16" i="32"/>
  <c r="B16" i="32"/>
  <c r="A16" i="32"/>
  <c r="K12" i="32"/>
  <c r="J12" i="32"/>
  <c r="I12" i="32"/>
  <c r="H12" i="32"/>
  <c r="G12" i="32"/>
  <c r="F12" i="32"/>
  <c r="E12" i="32"/>
  <c r="D12" i="32"/>
  <c r="C12" i="32"/>
  <c r="B12" i="32"/>
  <c r="A12" i="32"/>
  <c r="K11" i="32"/>
  <c r="J11" i="32"/>
  <c r="I11" i="32"/>
  <c r="H11" i="32"/>
  <c r="G11" i="32"/>
  <c r="F11" i="32"/>
  <c r="E11" i="32"/>
  <c r="D11" i="32"/>
  <c r="C11" i="32"/>
  <c r="B11" i="32"/>
  <c r="A11" i="32"/>
  <c r="K10" i="32"/>
  <c r="J10" i="32"/>
  <c r="I10" i="32"/>
  <c r="H10" i="32"/>
  <c r="G10" i="32"/>
  <c r="F10" i="32"/>
  <c r="E10" i="32"/>
  <c r="D10" i="32"/>
  <c r="C10" i="32"/>
  <c r="B10" i="32"/>
  <c r="A10" i="32"/>
  <c r="K9" i="32"/>
  <c r="J9" i="32"/>
  <c r="I9" i="32"/>
  <c r="H9" i="32"/>
  <c r="G9" i="32"/>
  <c r="F9" i="32"/>
  <c r="E9" i="32"/>
  <c r="D9" i="32"/>
  <c r="C9" i="32"/>
  <c r="B9" i="32"/>
  <c r="A9" i="32"/>
  <c r="K8" i="32"/>
  <c r="J8" i="32"/>
  <c r="I8" i="32"/>
  <c r="H8" i="32"/>
  <c r="G8" i="32"/>
  <c r="F8" i="32"/>
  <c r="E8" i="32"/>
  <c r="D8" i="32"/>
  <c r="C8" i="32"/>
  <c r="B8" i="32"/>
  <c r="A8" i="32"/>
  <c r="K7" i="32"/>
  <c r="J7" i="32"/>
  <c r="I7" i="32"/>
  <c r="H7" i="32"/>
  <c r="G7" i="32"/>
  <c r="F7" i="32"/>
  <c r="E7" i="32"/>
  <c r="D7" i="32"/>
  <c r="C7" i="32"/>
  <c r="B7" i="32"/>
  <c r="A7" i="32"/>
  <c r="K6" i="32"/>
  <c r="J6" i="32"/>
  <c r="I6" i="32"/>
  <c r="H6" i="32"/>
  <c r="G6" i="32"/>
  <c r="F6" i="32"/>
  <c r="E6" i="32"/>
  <c r="D6" i="32"/>
  <c r="C6" i="32"/>
  <c r="B6" i="32"/>
  <c r="A6" i="32"/>
  <c r="K5" i="32"/>
  <c r="J5" i="32"/>
  <c r="I5" i="32"/>
  <c r="H5" i="32"/>
  <c r="G5" i="32"/>
  <c r="F5" i="32"/>
  <c r="E5" i="32"/>
  <c r="D5" i="32"/>
  <c r="C5" i="32"/>
  <c r="B5" i="32"/>
  <c r="A5" i="32"/>
  <c r="A2" i="32"/>
  <c r="A24" i="32" s="1"/>
  <c r="J8" i="24" l="1"/>
  <c r="J18" i="24"/>
  <c r="J22" i="24"/>
  <c r="J26" i="24"/>
  <c r="J25" i="24"/>
  <c r="X13" i="32"/>
  <c r="V13" i="32"/>
  <c r="T13" i="32"/>
  <c r="Q53" i="23"/>
  <c r="D15" i="23"/>
  <c r="C34" i="23"/>
  <c r="P11" i="23"/>
  <c r="P30" i="23" s="1"/>
  <c r="H24" i="24"/>
  <c r="G24" i="24"/>
  <c r="P8" i="23"/>
  <c r="P27" i="23" s="1"/>
  <c r="P9" i="23"/>
  <c r="P28" i="23" s="1"/>
  <c r="I15" i="23"/>
  <c r="G34" i="23"/>
  <c r="P7" i="23"/>
  <c r="P26" i="23" s="1"/>
  <c r="P10" i="23"/>
  <c r="P29" i="23" s="1"/>
  <c r="H23" i="24"/>
  <c r="G23" i="24"/>
  <c r="G11" i="24"/>
  <c r="H11" i="24"/>
  <c r="H13" i="24"/>
  <c r="G13" i="24"/>
  <c r="G19" i="24"/>
  <c r="H19" i="24"/>
  <c r="H14" i="24"/>
  <c r="G14" i="24"/>
  <c r="H20" i="24"/>
  <c r="G20" i="24"/>
  <c r="G17" i="24"/>
  <c r="J17" i="24" s="1"/>
  <c r="H17" i="24"/>
  <c r="G10" i="24"/>
  <c r="H10" i="24"/>
  <c r="D16" i="23"/>
  <c r="E16" i="23" s="1"/>
  <c r="I55" i="25"/>
  <c r="N6" i="32"/>
  <c r="L6" i="32"/>
  <c r="P6" i="32"/>
  <c r="AF6" i="32" s="1"/>
  <c r="P13" i="32"/>
  <c r="L13" i="32"/>
  <c r="N13" i="32"/>
  <c r="P5" i="32"/>
  <c r="AF5" i="32" s="1"/>
  <c r="L5" i="32"/>
  <c r="N5" i="32"/>
  <c r="N7" i="32"/>
  <c r="P7" i="32"/>
  <c r="AF7" i="32" s="1"/>
  <c r="L7" i="32"/>
  <c r="N9" i="32"/>
  <c r="P9" i="32"/>
  <c r="AF9" i="32" s="1"/>
  <c r="L9" i="32"/>
  <c r="L11" i="32"/>
  <c r="P11" i="32"/>
  <c r="AF11" i="32" s="1"/>
  <c r="N11" i="32"/>
  <c r="N16" i="32"/>
  <c r="L16" i="32"/>
  <c r="P16" i="32"/>
  <c r="AF16" i="32" s="1"/>
  <c r="AF13" i="32"/>
  <c r="AD13" i="32"/>
  <c r="AB13" i="32"/>
  <c r="P12" i="32"/>
  <c r="AF12" i="32" s="1"/>
  <c r="N12" i="32"/>
  <c r="L12" i="32"/>
  <c r="P19" i="32"/>
  <c r="AF19" i="32" s="1"/>
  <c r="N19" i="32"/>
  <c r="L19" i="32"/>
  <c r="N8" i="32"/>
  <c r="V8" i="32" s="1"/>
  <c r="P8" i="32"/>
  <c r="L8" i="32"/>
  <c r="T8" i="32" s="1"/>
  <c r="L15" i="32"/>
  <c r="P15" i="32"/>
  <c r="AF15" i="32" s="1"/>
  <c r="N15" i="32"/>
  <c r="P10" i="32"/>
  <c r="AF10" i="32" s="1"/>
  <c r="N10" i="32"/>
  <c r="L10" i="32"/>
  <c r="N18" i="32"/>
  <c r="P18" i="32"/>
  <c r="AF18" i="32" s="1"/>
  <c r="L18" i="32"/>
  <c r="N17" i="32"/>
  <c r="P17" i="32"/>
  <c r="AF17" i="32" s="1"/>
  <c r="L17" i="32"/>
  <c r="G23" i="15"/>
  <c r="I23" i="15"/>
  <c r="E12" i="24"/>
  <c r="F6" i="24"/>
  <c r="E23" i="15"/>
  <c r="I16" i="23"/>
  <c r="G35" i="23"/>
  <c r="G28" i="23"/>
  <c r="I9" i="23"/>
  <c r="C35" i="23"/>
  <c r="C28" i="23"/>
  <c r="D9" i="23"/>
  <c r="L27" i="32"/>
  <c r="C56" i="23"/>
  <c r="I76" i="25" s="1"/>
  <c r="AF8" i="32"/>
  <c r="X8" i="32"/>
  <c r="AD8" i="32"/>
  <c r="AB8" i="32"/>
  <c r="X16" i="32"/>
  <c r="F56" i="23"/>
  <c r="I79" i="25" s="1"/>
  <c r="X15" i="32"/>
  <c r="X11" i="32"/>
  <c r="X17" i="32"/>
  <c r="P56" i="23"/>
  <c r="I86" i="25" s="1"/>
  <c r="X7" i="32"/>
  <c r="X9" i="32"/>
  <c r="P27" i="32"/>
  <c r="N27" i="32"/>
  <c r="P28" i="32"/>
  <c r="N28" i="32"/>
  <c r="L28" i="32"/>
  <c r="P29" i="32"/>
  <c r="N29" i="32"/>
  <c r="L29" i="32"/>
  <c r="X5" i="32"/>
  <c r="X19" i="32"/>
  <c r="H56" i="23"/>
  <c r="I81" i="25" s="1"/>
  <c r="G56" i="23"/>
  <c r="I80" i="25" s="1"/>
  <c r="X6" i="32"/>
  <c r="X10" i="32"/>
  <c r="X12" i="32"/>
  <c r="X18" i="32"/>
  <c r="C27" i="24"/>
  <c r="I24" i="25" s="1"/>
  <c r="E6" i="24"/>
  <c r="G29" i="23"/>
  <c r="I10" i="23"/>
  <c r="I8" i="23"/>
  <c r="G27" i="23"/>
  <c r="G30" i="23"/>
  <c r="I11" i="23"/>
  <c r="P25" i="23"/>
  <c r="I14" i="23"/>
  <c r="G33" i="23"/>
  <c r="I7" i="23"/>
  <c r="G26" i="23"/>
  <c r="G32" i="23"/>
  <c r="I13" i="23"/>
  <c r="F25" i="23"/>
  <c r="F37" i="23" s="1"/>
  <c r="F18" i="23"/>
  <c r="I10" i="25" s="1"/>
  <c r="I45" i="25" s="1"/>
  <c r="G36" i="23"/>
  <c r="I17" i="23"/>
  <c r="H25" i="23"/>
  <c r="H37" i="23" s="1"/>
  <c r="H18" i="23"/>
  <c r="I12" i="25" s="1"/>
  <c r="I47" i="25" s="1"/>
  <c r="G25" i="23"/>
  <c r="I6" i="23"/>
  <c r="G18" i="23"/>
  <c r="I11" i="25" s="1"/>
  <c r="I46" i="25" s="1"/>
  <c r="W17" i="16"/>
  <c r="U17" i="16"/>
  <c r="M17" i="16"/>
  <c r="AE17" i="16"/>
  <c r="Y17" i="16"/>
  <c r="AC17" i="16"/>
  <c r="K17" i="16"/>
  <c r="AA17" i="16"/>
  <c r="O17" i="16"/>
  <c r="Q17" i="16"/>
  <c r="S17" i="16"/>
  <c r="I17" i="16"/>
  <c r="G17" i="16"/>
  <c r="J23" i="24" l="1"/>
  <c r="J24" i="24"/>
  <c r="J20" i="24"/>
  <c r="J19" i="24"/>
  <c r="J11" i="24"/>
  <c r="P18" i="23"/>
  <c r="I17" i="25" s="1"/>
  <c r="I52" i="25" s="1"/>
  <c r="J15" i="23"/>
  <c r="J34" i="23" s="1"/>
  <c r="I34" i="23"/>
  <c r="E15" i="23"/>
  <c r="D34" i="23"/>
  <c r="P37" i="23"/>
  <c r="E27" i="24"/>
  <c r="I26" i="25" s="1"/>
  <c r="H6" i="24"/>
  <c r="G6" i="24"/>
  <c r="V15" i="32"/>
  <c r="AD15" i="32"/>
  <c r="T18" i="32"/>
  <c r="AB18" i="32"/>
  <c r="T15" i="32"/>
  <c r="AB15" i="32"/>
  <c r="V12" i="32"/>
  <c r="AD12" i="32"/>
  <c r="AD11" i="32"/>
  <c r="V11" i="32"/>
  <c r="V7" i="32"/>
  <c r="AD7" i="32"/>
  <c r="AD16" i="32"/>
  <c r="V16" i="32"/>
  <c r="V5" i="32"/>
  <c r="AD5" i="32"/>
  <c r="AD18" i="32"/>
  <c r="V18" i="32"/>
  <c r="AB11" i="32"/>
  <c r="T11" i="32"/>
  <c r="AB5" i="32"/>
  <c r="T5" i="32"/>
  <c r="T17" i="32"/>
  <c r="AB17" i="32"/>
  <c r="AD9" i="32"/>
  <c r="V9" i="32"/>
  <c r="R16" i="32"/>
  <c r="H18" i="25" s="1"/>
  <c r="T16" i="32"/>
  <c r="AB16" i="32"/>
  <c r="AH16" i="32" s="1"/>
  <c r="H87" i="25" s="1"/>
  <c r="AD17" i="32"/>
  <c r="V17" i="32"/>
  <c r="AB10" i="32"/>
  <c r="T10" i="32"/>
  <c r="AB9" i="32"/>
  <c r="T9" i="32"/>
  <c r="T6" i="32"/>
  <c r="AB6" i="32"/>
  <c r="AD19" i="32"/>
  <c r="V19" i="32"/>
  <c r="T7" i="32"/>
  <c r="AB7" i="32"/>
  <c r="AB12" i="32"/>
  <c r="T12" i="32"/>
  <c r="V10" i="32"/>
  <c r="AD10" i="32"/>
  <c r="T19" i="32"/>
  <c r="AB19" i="32"/>
  <c r="AD6" i="32"/>
  <c r="V6" i="32"/>
  <c r="F27" i="24"/>
  <c r="I27" i="25" s="1"/>
  <c r="I28" i="25" s="1"/>
  <c r="I29" i="25" s="1"/>
  <c r="E35" i="23"/>
  <c r="D35" i="23"/>
  <c r="I28" i="23"/>
  <c r="J9" i="23"/>
  <c r="J28" i="23" s="1"/>
  <c r="E9" i="23"/>
  <c r="E28" i="23" s="1"/>
  <c r="D28" i="23"/>
  <c r="J16" i="23"/>
  <c r="J35" i="23" s="1"/>
  <c r="I35" i="23"/>
  <c r="AF20" i="32"/>
  <c r="N34" i="32"/>
  <c r="P34" i="32"/>
  <c r="L34" i="32"/>
  <c r="R29" i="32"/>
  <c r="H26" i="25" s="1"/>
  <c r="R12" i="32"/>
  <c r="H14" i="25" s="1"/>
  <c r="G37" i="23"/>
  <c r="R18" i="32"/>
  <c r="H20" i="25" s="1"/>
  <c r="AH13" i="32"/>
  <c r="H84" i="25" s="1"/>
  <c r="X20" i="32"/>
  <c r="R28" i="32"/>
  <c r="H25" i="25" s="1"/>
  <c r="R11" i="32"/>
  <c r="H13" i="25" s="1"/>
  <c r="AH8" i="32"/>
  <c r="H79" i="25" s="1"/>
  <c r="R15" i="32"/>
  <c r="H17" i="25" s="1"/>
  <c r="R10" i="32"/>
  <c r="H12" i="25" s="1"/>
  <c r="R17" i="32"/>
  <c r="H19" i="25" s="1"/>
  <c r="N20" i="32"/>
  <c r="R27" i="32"/>
  <c r="R13" i="32"/>
  <c r="H15" i="25" s="1"/>
  <c r="Z13" i="32"/>
  <c r="H50" i="25" s="1"/>
  <c r="Z8" i="32"/>
  <c r="H45" i="25" s="1"/>
  <c r="P20" i="32"/>
  <c r="R6" i="32"/>
  <c r="H8" i="25" s="1"/>
  <c r="R19" i="32"/>
  <c r="H21" i="25" s="1"/>
  <c r="R5" i="32"/>
  <c r="L20" i="32"/>
  <c r="R9" i="32"/>
  <c r="H11" i="25" s="1"/>
  <c r="R7" i="32"/>
  <c r="H9" i="25" s="1"/>
  <c r="R8" i="32"/>
  <c r="H10" i="25" s="1"/>
  <c r="J8" i="23"/>
  <c r="J27" i="23" s="1"/>
  <c r="I27" i="23"/>
  <c r="I36" i="23"/>
  <c r="J17" i="23"/>
  <c r="J36" i="23" s="1"/>
  <c r="I29" i="23"/>
  <c r="J10" i="23"/>
  <c r="J29" i="23" s="1"/>
  <c r="J13" i="23"/>
  <c r="J32" i="23" s="1"/>
  <c r="I32" i="23"/>
  <c r="J14" i="23"/>
  <c r="J33" i="23" s="1"/>
  <c r="I33" i="23"/>
  <c r="J6" i="23"/>
  <c r="I25" i="23"/>
  <c r="I18" i="23"/>
  <c r="I13" i="25" s="1"/>
  <c r="I48" i="25" s="1"/>
  <c r="J11" i="23"/>
  <c r="J30" i="23" s="1"/>
  <c r="I30" i="23"/>
  <c r="J7" i="23"/>
  <c r="J26" i="23" s="1"/>
  <c r="I26" i="23"/>
  <c r="J56" i="23"/>
  <c r="I83" i="25" s="1"/>
  <c r="I56" i="23"/>
  <c r="I82" i="25" s="1"/>
  <c r="J28" i="31"/>
  <c r="I28" i="31"/>
  <c r="K28" i="31" s="1"/>
  <c r="J27" i="31"/>
  <c r="I27" i="31"/>
  <c r="J26" i="31"/>
  <c r="I26" i="31"/>
  <c r="K26" i="31" s="1"/>
  <c r="N15" i="31"/>
  <c r="L15" i="31"/>
  <c r="K15" i="31"/>
  <c r="J15" i="31"/>
  <c r="E15" i="31"/>
  <c r="D15" i="31"/>
  <c r="C15" i="31"/>
  <c r="B15" i="31"/>
  <c r="A15" i="31"/>
  <c r="C14" i="31"/>
  <c r="B14" i="31"/>
  <c r="A14" i="31"/>
  <c r="N13" i="31"/>
  <c r="M13" i="31"/>
  <c r="S13" i="31" s="1"/>
  <c r="L13" i="31"/>
  <c r="K13" i="31"/>
  <c r="Q13" i="31" s="1"/>
  <c r="J13" i="31"/>
  <c r="I13" i="31"/>
  <c r="C13" i="31"/>
  <c r="B13" i="31"/>
  <c r="A13" i="31"/>
  <c r="N19" i="31"/>
  <c r="M19" i="31"/>
  <c r="L19" i="31"/>
  <c r="K19" i="31"/>
  <c r="I19" i="31"/>
  <c r="E19" i="31"/>
  <c r="D19" i="31"/>
  <c r="C19" i="31"/>
  <c r="B19" i="31"/>
  <c r="A19" i="31"/>
  <c r="N18" i="31"/>
  <c r="M18" i="31"/>
  <c r="L18" i="31"/>
  <c r="K18" i="31"/>
  <c r="I18" i="31"/>
  <c r="E18" i="31"/>
  <c r="D18" i="31"/>
  <c r="C18" i="31"/>
  <c r="B18" i="31"/>
  <c r="A18" i="31"/>
  <c r="N17" i="31"/>
  <c r="M17" i="31"/>
  <c r="L17" i="31"/>
  <c r="K17" i="31"/>
  <c r="I17" i="31"/>
  <c r="E17" i="31"/>
  <c r="D17" i="31"/>
  <c r="C17" i="31"/>
  <c r="B17" i="31"/>
  <c r="A17" i="31"/>
  <c r="N16" i="31"/>
  <c r="M16" i="31"/>
  <c r="L16" i="31"/>
  <c r="K16" i="31"/>
  <c r="I16" i="31"/>
  <c r="E16" i="31"/>
  <c r="D16" i="31"/>
  <c r="C16" i="31"/>
  <c r="B16" i="31"/>
  <c r="A16" i="31"/>
  <c r="N12" i="31"/>
  <c r="M12" i="31"/>
  <c r="L12" i="31"/>
  <c r="K12" i="31"/>
  <c r="J12" i="31"/>
  <c r="I12" i="31"/>
  <c r="E12" i="31"/>
  <c r="D12" i="31"/>
  <c r="C12" i="31"/>
  <c r="B12" i="31"/>
  <c r="A12" i="31"/>
  <c r="N11" i="31"/>
  <c r="M11" i="31"/>
  <c r="L11" i="31"/>
  <c r="K11" i="31"/>
  <c r="J11" i="31"/>
  <c r="I11" i="31"/>
  <c r="E11" i="31"/>
  <c r="D11" i="31"/>
  <c r="C11" i="31"/>
  <c r="B11" i="31"/>
  <c r="A11" i="31"/>
  <c r="N10" i="31"/>
  <c r="M10" i="31"/>
  <c r="L10" i="31"/>
  <c r="K10" i="31"/>
  <c r="J10" i="31"/>
  <c r="I10" i="31"/>
  <c r="E10" i="31"/>
  <c r="D10" i="31"/>
  <c r="C10" i="31"/>
  <c r="B10" i="31"/>
  <c r="A10" i="31"/>
  <c r="N9" i="31"/>
  <c r="M9" i="31"/>
  <c r="L9" i="31"/>
  <c r="K9" i="31"/>
  <c r="J9" i="31"/>
  <c r="I9" i="31"/>
  <c r="E9" i="31"/>
  <c r="D9" i="31"/>
  <c r="C9" i="31"/>
  <c r="B9" i="31"/>
  <c r="A9" i="31"/>
  <c r="N8" i="31"/>
  <c r="M8" i="31"/>
  <c r="L8" i="31"/>
  <c r="K8" i="31"/>
  <c r="J8" i="31"/>
  <c r="I8" i="31"/>
  <c r="E8" i="31"/>
  <c r="D8" i="31"/>
  <c r="C8" i="31"/>
  <c r="B8" i="31"/>
  <c r="A8" i="31"/>
  <c r="N7" i="31"/>
  <c r="M7" i="31"/>
  <c r="L7" i="31"/>
  <c r="K7" i="31"/>
  <c r="J7" i="31"/>
  <c r="I7" i="31"/>
  <c r="E7" i="31"/>
  <c r="D7" i="31"/>
  <c r="C7" i="31"/>
  <c r="B7" i="31"/>
  <c r="A7" i="31"/>
  <c r="N6" i="31"/>
  <c r="M6" i="31"/>
  <c r="L6" i="31"/>
  <c r="K6" i="31"/>
  <c r="J6" i="31"/>
  <c r="I6" i="31"/>
  <c r="E6" i="31"/>
  <c r="D6" i="31"/>
  <c r="C6" i="31"/>
  <c r="B6" i="31"/>
  <c r="A6" i="31"/>
  <c r="N5" i="31"/>
  <c r="M5" i="31"/>
  <c r="L5" i="31"/>
  <c r="K5" i="31"/>
  <c r="J5" i="31"/>
  <c r="I5" i="31"/>
  <c r="E5" i="31"/>
  <c r="D5" i="31"/>
  <c r="C5" i="31"/>
  <c r="B5" i="31"/>
  <c r="A5" i="31"/>
  <c r="A2" i="31"/>
  <c r="A23" i="31" s="1"/>
  <c r="S10" i="31" l="1"/>
  <c r="Q10" i="31"/>
  <c r="S8" i="31"/>
  <c r="Q8" i="31"/>
  <c r="Q5" i="31"/>
  <c r="G7" i="25"/>
  <c r="S5" i="31"/>
  <c r="G76" i="25" s="1"/>
  <c r="S6" i="31"/>
  <c r="Q6" i="31"/>
  <c r="G43" i="25" s="1"/>
  <c r="S11" i="31"/>
  <c r="Q11" i="31"/>
  <c r="S9" i="31"/>
  <c r="G80" i="25" s="1"/>
  <c r="Q9" i="31"/>
  <c r="G46" i="25" s="1"/>
  <c r="S15" i="31"/>
  <c r="Q15" i="31"/>
  <c r="S12" i="31"/>
  <c r="G83" i="25" s="1"/>
  <c r="Q12" i="31"/>
  <c r="S7" i="31"/>
  <c r="G78" i="25" s="1"/>
  <c r="Q7" i="31"/>
  <c r="Z9" i="32"/>
  <c r="H46" i="25" s="1"/>
  <c r="Z11" i="32"/>
  <c r="H48" i="25" s="1"/>
  <c r="Z18" i="32"/>
  <c r="H55" i="25" s="1"/>
  <c r="AH6" i="32"/>
  <c r="H77" i="25" s="1"/>
  <c r="AH5" i="32"/>
  <c r="H76" i="25" s="1"/>
  <c r="Z7" i="32"/>
  <c r="H44" i="25" s="1"/>
  <c r="AH12" i="32"/>
  <c r="H83" i="25" s="1"/>
  <c r="AH15" i="32"/>
  <c r="H86" i="25" s="1"/>
  <c r="E34" i="23"/>
  <c r="Q34" i="23" s="1"/>
  <c r="Q15" i="23"/>
  <c r="Z15" i="32"/>
  <c r="H52" i="25" s="1"/>
  <c r="G27" i="24"/>
  <c r="H27" i="24" s="1"/>
  <c r="I62" i="25"/>
  <c r="I96" i="25" s="1"/>
  <c r="Z16" i="32"/>
  <c r="H53" i="25" s="1"/>
  <c r="Z6" i="32"/>
  <c r="H43" i="25" s="1"/>
  <c r="AH7" i="32"/>
  <c r="H78" i="25" s="1"/>
  <c r="Z10" i="32"/>
  <c r="H47" i="25" s="1"/>
  <c r="AH18" i="32"/>
  <c r="H89" i="25" s="1"/>
  <c r="AH9" i="32"/>
  <c r="H80" i="25" s="1"/>
  <c r="G45" i="25"/>
  <c r="G42" i="25"/>
  <c r="G44" i="25"/>
  <c r="AH11" i="32"/>
  <c r="H82" i="25" s="1"/>
  <c r="AB20" i="32"/>
  <c r="AH17" i="32"/>
  <c r="H88" i="25" s="1"/>
  <c r="Z12" i="32"/>
  <c r="H49" i="25" s="1"/>
  <c r="AH19" i="32"/>
  <c r="H90" i="25" s="1"/>
  <c r="Z17" i="32"/>
  <c r="H54" i="25" s="1"/>
  <c r="Z19" i="32"/>
  <c r="H56" i="25" s="1"/>
  <c r="V20" i="32"/>
  <c r="Z5" i="32"/>
  <c r="H42" i="25" s="1"/>
  <c r="T20" i="32"/>
  <c r="AH10" i="32"/>
  <c r="H81" i="25" s="1"/>
  <c r="AD20" i="32"/>
  <c r="G47" i="25"/>
  <c r="O26" i="31"/>
  <c r="O16" i="31"/>
  <c r="G18" i="25" s="1"/>
  <c r="G50" i="25"/>
  <c r="G84" i="25"/>
  <c r="H24" i="25"/>
  <c r="H30" i="25" s="1"/>
  <c r="R34" i="32"/>
  <c r="G86" i="25"/>
  <c r="G81" i="25"/>
  <c r="K27" i="31"/>
  <c r="G52" i="25"/>
  <c r="G82" i="25"/>
  <c r="G49" i="25"/>
  <c r="G79" i="25"/>
  <c r="Q17" i="31"/>
  <c r="G54" i="25" s="1"/>
  <c r="S17" i="31"/>
  <c r="G88" i="25" s="1"/>
  <c r="O17" i="31"/>
  <c r="G19" i="25" s="1"/>
  <c r="S19" i="31"/>
  <c r="G90" i="25" s="1"/>
  <c r="O19" i="31"/>
  <c r="G21" i="25" s="1"/>
  <c r="Q19" i="31"/>
  <c r="G56" i="25" s="1"/>
  <c r="G48" i="25"/>
  <c r="G77" i="25"/>
  <c r="H7" i="25"/>
  <c r="R20" i="32"/>
  <c r="S16" i="31"/>
  <c r="G87" i="25" s="1"/>
  <c r="Q16" i="31"/>
  <c r="G53" i="25" s="1"/>
  <c r="S18" i="31"/>
  <c r="G89" i="25" s="1"/>
  <c r="O18" i="31"/>
  <c r="G20" i="25" s="1"/>
  <c r="Q18" i="31"/>
  <c r="G55" i="25" s="1"/>
  <c r="I37" i="23"/>
  <c r="J25" i="23"/>
  <c r="J37" i="23" s="1"/>
  <c r="J18" i="23"/>
  <c r="I14" i="25" s="1"/>
  <c r="I49" i="25" s="1"/>
  <c r="G25" i="25" l="1"/>
  <c r="O27" i="31"/>
  <c r="G26" i="25"/>
  <c r="O28" i="31"/>
  <c r="G24" i="25"/>
  <c r="K33" i="31"/>
  <c r="I63" i="25"/>
  <c r="I97" i="25" s="1"/>
  <c r="I64" i="25"/>
  <c r="I98" i="25" s="1"/>
  <c r="Z20" i="32"/>
  <c r="AH20" i="32"/>
  <c r="O33" i="31" l="1"/>
  <c r="G30" i="25"/>
  <c r="J28" i="30"/>
  <c r="I28" i="30"/>
  <c r="E28" i="30"/>
  <c r="D28" i="30"/>
  <c r="C28" i="30"/>
  <c r="B28" i="30"/>
  <c r="A28" i="30"/>
  <c r="J27" i="30"/>
  <c r="I27" i="30"/>
  <c r="E27" i="30"/>
  <c r="D27" i="30"/>
  <c r="C27" i="30"/>
  <c r="B27" i="30"/>
  <c r="A27" i="30"/>
  <c r="J26" i="30"/>
  <c r="I26" i="30"/>
  <c r="E26" i="30"/>
  <c r="D26" i="30"/>
  <c r="C26" i="30"/>
  <c r="B26" i="30"/>
  <c r="A26" i="30"/>
  <c r="N15" i="30"/>
  <c r="L15" i="30"/>
  <c r="K15" i="30"/>
  <c r="J15" i="30"/>
  <c r="E15" i="30"/>
  <c r="D15" i="30"/>
  <c r="O15" i="30" s="1"/>
  <c r="C15" i="30"/>
  <c r="B15" i="30"/>
  <c r="A15" i="30"/>
  <c r="C14" i="30"/>
  <c r="B14" i="30"/>
  <c r="A14" i="30"/>
  <c r="N13" i="30"/>
  <c r="M13" i="30"/>
  <c r="S13" i="30" s="1"/>
  <c r="L13" i="30"/>
  <c r="K13" i="30"/>
  <c r="Q13" i="30" s="1"/>
  <c r="J13" i="30"/>
  <c r="I13" i="30"/>
  <c r="O13" i="30" s="1"/>
  <c r="C13" i="30"/>
  <c r="B13" i="30"/>
  <c r="A13" i="30"/>
  <c r="N19" i="30"/>
  <c r="M19" i="30"/>
  <c r="L19" i="30"/>
  <c r="K19" i="30"/>
  <c r="I19" i="30"/>
  <c r="E19" i="30"/>
  <c r="D19" i="30"/>
  <c r="C19" i="30"/>
  <c r="B19" i="30"/>
  <c r="A19" i="30"/>
  <c r="N18" i="30"/>
  <c r="M18" i="30"/>
  <c r="L18" i="30"/>
  <c r="K18" i="30"/>
  <c r="I18" i="30"/>
  <c r="E18" i="30"/>
  <c r="D18" i="30"/>
  <c r="C18" i="30"/>
  <c r="B18" i="30"/>
  <c r="A18" i="30"/>
  <c r="N17" i="30"/>
  <c r="M17" i="30"/>
  <c r="L17" i="30"/>
  <c r="K17" i="30"/>
  <c r="I17" i="30"/>
  <c r="E17" i="30"/>
  <c r="D17" i="30"/>
  <c r="C17" i="30"/>
  <c r="B17" i="30"/>
  <c r="A17" i="30"/>
  <c r="N16" i="30"/>
  <c r="M16" i="30"/>
  <c r="L16" i="30"/>
  <c r="K16" i="30"/>
  <c r="I16" i="30"/>
  <c r="E16" i="30"/>
  <c r="D16" i="30"/>
  <c r="C16" i="30"/>
  <c r="B16" i="30"/>
  <c r="A16" i="30"/>
  <c r="N12" i="30"/>
  <c r="M12" i="30"/>
  <c r="L12" i="30"/>
  <c r="K12" i="30"/>
  <c r="J12" i="30"/>
  <c r="I12" i="30"/>
  <c r="E12" i="30"/>
  <c r="D12" i="30"/>
  <c r="C12" i="30"/>
  <c r="B12" i="30"/>
  <c r="A12" i="30"/>
  <c r="N11" i="30"/>
  <c r="M11" i="30"/>
  <c r="L11" i="30"/>
  <c r="K11" i="30"/>
  <c r="J11" i="30"/>
  <c r="I11" i="30"/>
  <c r="E11" i="30"/>
  <c r="D11" i="30"/>
  <c r="C11" i="30"/>
  <c r="B11" i="30"/>
  <c r="A11" i="30"/>
  <c r="N10" i="30"/>
  <c r="M10" i="30"/>
  <c r="L10" i="30"/>
  <c r="K10" i="30"/>
  <c r="J10" i="30"/>
  <c r="I10" i="30"/>
  <c r="E10" i="30"/>
  <c r="D10" i="30"/>
  <c r="C10" i="30"/>
  <c r="B10" i="30"/>
  <c r="A10" i="30"/>
  <c r="N9" i="30"/>
  <c r="M9" i="30"/>
  <c r="L9" i="30"/>
  <c r="K9" i="30"/>
  <c r="J9" i="30"/>
  <c r="I9" i="30"/>
  <c r="E9" i="30"/>
  <c r="D9" i="30"/>
  <c r="C9" i="30"/>
  <c r="B9" i="30"/>
  <c r="A9" i="30"/>
  <c r="L8" i="30"/>
  <c r="K8" i="30"/>
  <c r="J8" i="30"/>
  <c r="I8" i="30"/>
  <c r="E8" i="30"/>
  <c r="D8" i="30"/>
  <c r="C8" i="30"/>
  <c r="B8" i="30"/>
  <c r="A8" i="30"/>
  <c r="L7" i="30"/>
  <c r="K7" i="30"/>
  <c r="J7" i="30"/>
  <c r="I7" i="30"/>
  <c r="E7" i="30"/>
  <c r="D7" i="30"/>
  <c r="C7" i="30"/>
  <c r="B7" i="30"/>
  <c r="A7" i="30"/>
  <c r="L6" i="30"/>
  <c r="K6" i="30"/>
  <c r="J6" i="30"/>
  <c r="I6" i="30"/>
  <c r="E6" i="30"/>
  <c r="D6" i="30"/>
  <c r="C6" i="30"/>
  <c r="B6" i="30"/>
  <c r="A6" i="30"/>
  <c r="L5" i="30"/>
  <c r="K5" i="30"/>
  <c r="J5" i="30"/>
  <c r="I5" i="30"/>
  <c r="E5" i="30"/>
  <c r="D5" i="30"/>
  <c r="C5" i="30"/>
  <c r="B5" i="30"/>
  <c r="A5" i="30"/>
  <c r="A2" i="30"/>
  <c r="A23" i="30" s="1"/>
  <c r="Q15" i="30" l="1"/>
  <c r="S15" i="30" s="1"/>
  <c r="F86" i="25" s="1"/>
  <c r="O10" i="30"/>
  <c r="F12" i="25" s="1"/>
  <c r="O9" i="30"/>
  <c r="Q9" i="30" s="1"/>
  <c r="S9" i="30" s="1"/>
  <c r="F80" i="25" s="1"/>
  <c r="O11" i="30"/>
  <c r="Q11" i="30" s="1"/>
  <c r="S11" i="30" s="1"/>
  <c r="F82" i="25" s="1"/>
  <c r="F15" i="25"/>
  <c r="O18" i="30"/>
  <c r="Q18" i="30" s="1"/>
  <c r="S18" i="30" s="1"/>
  <c r="F89" i="25" s="1"/>
  <c r="O12" i="30"/>
  <c r="Q12" i="30" s="1"/>
  <c r="S12" i="30" s="1"/>
  <c r="F83" i="25" s="1"/>
  <c r="K26" i="30"/>
  <c r="F50" i="25"/>
  <c r="F84" i="25"/>
  <c r="O6" i="30"/>
  <c r="O16" i="30"/>
  <c r="O7" i="30"/>
  <c r="K27" i="30"/>
  <c r="O27" i="30" s="1"/>
  <c r="K28" i="30"/>
  <c r="O5" i="30"/>
  <c r="O19" i="30"/>
  <c r="F17" i="25"/>
  <c r="O8" i="30"/>
  <c r="O17" i="30"/>
  <c r="J28" i="29"/>
  <c r="I28" i="29"/>
  <c r="E28" i="29"/>
  <c r="D28" i="29"/>
  <c r="C28" i="29"/>
  <c r="B28" i="29"/>
  <c r="A28" i="29"/>
  <c r="J27" i="29"/>
  <c r="I27" i="29"/>
  <c r="E27" i="29"/>
  <c r="D27" i="29"/>
  <c r="C27" i="29"/>
  <c r="B27" i="29"/>
  <c r="A27" i="29"/>
  <c r="J26" i="29"/>
  <c r="I26" i="29"/>
  <c r="E26" i="29"/>
  <c r="D26" i="29"/>
  <c r="C26" i="29"/>
  <c r="B26" i="29"/>
  <c r="A26" i="29"/>
  <c r="N15" i="29"/>
  <c r="L15" i="29"/>
  <c r="K15" i="29"/>
  <c r="J15" i="29"/>
  <c r="E15" i="29"/>
  <c r="D15" i="29"/>
  <c r="O15" i="29" s="1"/>
  <c r="C15" i="29"/>
  <c r="B15" i="29"/>
  <c r="A15" i="29"/>
  <c r="C14" i="29"/>
  <c r="B14" i="29"/>
  <c r="A14" i="29"/>
  <c r="N13" i="29"/>
  <c r="M13" i="29"/>
  <c r="L13" i="29"/>
  <c r="K13" i="29"/>
  <c r="Q13" i="29" s="1"/>
  <c r="J13" i="29"/>
  <c r="I13" i="29"/>
  <c r="C13" i="29"/>
  <c r="B13" i="29"/>
  <c r="A13" i="29"/>
  <c r="N19" i="29"/>
  <c r="M19" i="29"/>
  <c r="L19" i="29"/>
  <c r="K19" i="29"/>
  <c r="I19" i="29"/>
  <c r="E19" i="29"/>
  <c r="D19" i="29"/>
  <c r="C19" i="29"/>
  <c r="B19" i="29"/>
  <c r="A19" i="29"/>
  <c r="N18" i="29"/>
  <c r="M18" i="29"/>
  <c r="L18" i="29"/>
  <c r="K18" i="29"/>
  <c r="I18" i="29"/>
  <c r="E18" i="29"/>
  <c r="D18" i="29"/>
  <c r="C18" i="29"/>
  <c r="B18" i="29"/>
  <c r="A18" i="29"/>
  <c r="N17" i="29"/>
  <c r="M17" i="29"/>
  <c r="L17" i="29"/>
  <c r="K17" i="29"/>
  <c r="I17" i="29"/>
  <c r="E17" i="29"/>
  <c r="D17" i="29"/>
  <c r="C17" i="29"/>
  <c r="B17" i="29"/>
  <c r="A17" i="29"/>
  <c r="N16" i="29"/>
  <c r="M16" i="29"/>
  <c r="L16" i="29"/>
  <c r="K16" i="29"/>
  <c r="I16" i="29"/>
  <c r="E16" i="29"/>
  <c r="D16" i="29"/>
  <c r="C16" i="29"/>
  <c r="B16" i="29"/>
  <c r="A16" i="29"/>
  <c r="N12" i="29"/>
  <c r="M12" i="29"/>
  <c r="L12" i="29"/>
  <c r="K12" i="29"/>
  <c r="J12" i="29"/>
  <c r="I12" i="29"/>
  <c r="E12" i="29"/>
  <c r="D12" i="29"/>
  <c r="C12" i="29"/>
  <c r="B12" i="29"/>
  <c r="A12" i="29"/>
  <c r="N11" i="29"/>
  <c r="M11" i="29"/>
  <c r="L11" i="29"/>
  <c r="K11" i="29"/>
  <c r="J11" i="29"/>
  <c r="I11" i="29"/>
  <c r="E11" i="29"/>
  <c r="D11" i="29"/>
  <c r="C11" i="29"/>
  <c r="B11" i="29"/>
  <c r="A11" i="29"/>
  <c r="N10" i="29"/>
  <c r="M10" i="29"/>
  <c r="L10" i="29"/>
  <c r="K10" i="29"/>
  <c r="J10" i="29"/>
  <c r="I10" i="29"/>
  <c r="E10" i="29"/>
  <c r="D10" i="29"/>
  <c r="C10" i="29"/>
  <c r="B10" i="29"/>
  <c r="A10" i="29"/>
  <c r="N9" i="29"/>
  <c r="M9" i="29"/>
  <c r="L9" i="29"/>
  <c r="K9" i="29"/>
  <c r="J9" i="29"/>
  <c r="I9" i="29"/>
  <c r="E9" i="29"/>
  <c r="D9" i="29"/>
  <c r="C9" i="29"/>
  <c r="B9" i="29"/>
  <c r="A9" i="29"/>
  <c r="N8" i="29"/>
  <c r="M8" i="29"/>
  <c r="L8" i="29"/>
  <c r="K8" i="29"/>
  <c r="J8" i="29"/>
  <c r="I8" i="29"/>
  <c r="E8" i="29"/>
  <c r="D8" i="29"/>
  <c r="C8" i="29"/>
  <c r="B8" i="29"/>
  <c r="A8" i="29"/>
  <c r="N7" i="29"/>
  <c r="M7" i="29"/>
  <c r="L7" i="29"/>
  <c r="K7" i="29"/>
  <c r="J7" i="29"/>
  <c r="I7" i="29"/>
  <c r="E7" i="29"/>
  <c r="D7" i="29"/>
  <c r="C7" i="29"/>
  <c r="B7" i="29"/>
  <c r="A7" i="29"/>
  <c r="N6" i="29"/>
  <c r="M6" i="29"/>
  <c r="L6" i="29"/>
  <c r="K6" i="29"/>
  <c r="J6" i="29"/>
  <c r="I6" i="29"/>
  <c r="E6" i="29"/>
  <c r="D6" i="29"/>
  <c r="C6" i="29"/>
  <c r="B6" i="29"/>
  <c r="A6" i="29"/>
  <c r="N5" i="29"/>
  <c r="M5" i="29"/>
  <c r="L5" i="29"/>
  <c r="K5" i="29"/>
  <c r="J5" i="29"/>
  <c r="I5" i="29"/>
  <c r="E5" i="29"/>
  <c r="D5" i="29"/>
  <c r="C5" i="29"/>
  <c r="B5" i="29"/>
  <c r="A5" i="29"/>
  <c r="A2" i="29"/>
  <c r="A23" i="29" s="1"/>
  <c r="Q10" i="30" l="1"/>
  <c r="S10" i="30" s="1"/>
  <c r="F81" i="25" s="1"/>
  <c r="F26" i="25"/>
  <c r="O28" i="30"/>
  <c r="F24" i="25"/>
  <c r="O26" i="30"/>
  <c r="O33" i="30" s="1"/>
  <c r="F52" i="25"/>
  <c r="F48" i="25"/>
  <c r="F55" i="25"/>
  <c r="F13" i="25"/>
  <c r="Q15" i="29"/>
  <c r="S15" i="29" s="1"/>
  <c r="E86" i="25" s="1"/>
  <c r="F11" i="25"/>
  <c r="F46" i="25"/>
  <c r="F49" i="25"/>
  <c r="F47" i="25"/>
  <c r="O18" i="29"/>
  <c r="Q18" i="29" s="1"/>
  <c r="F19" i="25"/>
  <c r="Q17" i="30"/>
  <c r="F18" i="25"/>
  <c r="Q16" i="30"/>
  <c r="F8" i="25"/>
  <c r="Q6" i="30"/>
  <c r="O10" i="29"/>
  <c r="Q10" i="29" s="1"/>
  <c r="S10" i="29" s="1"/>
  <c r="E81" i="25" s="1"/>
  <c r="O12" i="29"/>
  <c r="Q12" i="29" s="1"/>
  <c r="S12" i="29" s="1"/>
  <c r="E83" i="25" s="1"/>
  <c r="O13" i="29"/>
  <c r="E15" i="25" s="1"/>
  <c r="K26" i="29"/>
  <c r="F14" i="25"/>
  <c r="F10" i="25"/>
  <c r="Q8" i="30"/>
  <c r="F21" i="25"/>
  <c r="Q19" i="30"/>
  <c r="E50" i="25"/>
  <c r="F7" i="25"/>
  <c r="Q5" i="30"/>
  <c r="F20" i="25"/>
  <c r="O9" i="29"/>
  <c r="Q9" i="29" s="1"/>
  <c r="S9" i="29" s="1"/>
  <c r="E80" i="25" s="1"/>
  <c r="O11" i="29"/>
  <c r="Q11" i="29" s="1"/>
  <c r="S11" i="29" s="1"/>
  <c r="E82" i="25" s="1"/>
  <c r="S13" i="29"/>
  <c r="E84" i="25" s="1"/>
  <c r="F9" i="25"/>
  <c r="Q7" i="30"/>
  <c r="F25" i="25"/>
  <c r="K33" i="30"/>
  <c r="O16" i="29"/>
  <c r="O19" i="29"/>
  <c r="E17" i="25"/>
  <c r="O6" i="29"/>
  <c r="O8" i="29"/>
  <c r="O5" i="29"/>
  <c r="O7" i="29"/>
  <c r="O20" i="30"/>
  <c r="O17" i="29"/>
  <c r="K27" i="29"/>
  <c r="O27" i="29" s="1"/>
  <c r="K28" i="29"/>
  <c r="E24" i="25" l="1"/>
  <c r="O26" i="29"/>
  <c r="F30" i="25"/>
  <c r="E26" i="25"/>
  <c r="O28" i="29"/>
  <c r="E52" i="25"/>
  <c r="E20" i="25"/>
  <c r="S18" i="29"/>
  <c r="E89" i="25" s="1"/>
  <c r="E55" i="25"/>
  <c r="E49" i="25"/>
  <c r="E18" i="25"/>
  <c r="Q16" i="29"/>
  <c r="S8" i="30"/>
  <c r="F79" i="25" s="1"/>
  <c r="F45" i="25"/>
  <c r="E21" i="25"/>
  <c r="Q19" i="29"/>
  <c r="E13" i="25"/>
  <c r="S5" i="30"/>
  <c r="Q20" i="30"/>
  <c r="E19" i="25"/>
  <c r="Q17" i="29"/>
  <c r="E7" i="25"/>
  <c r="Q5" i="29"/>
  <c r="E46" i="25"/>
  <c r="E47" i="25"/>
  <c r="E9" i="25"/>
  <c r="Q7" i="29"/>
  <c r="E10" i="25"/>
  <c r="Q8" i="29"/>
  <c r="S17" i="30"/>
  <c r="F88" i="25" s="1"/>
  <c r="F54" i="25"/>
  <c r="S19" i="30"/>
  <c r="F90" i="25" s="1"/>
  <c r="F56" i="25"/>
  <c r="E8" i="25"/>
  <c r="Q6" i="29"/>
  <c r="E48" i="25"/>
  <c r="E14" i="25"/>
  <c r="S6" i="30"/>
  <c r="F77" i="25" s="1"/>
  <c r="F43" i="25"/>
  <c r="E11" i="25"/>
  <c r="E12" i="25"/>
  <c r="S7" i="30"/>
  <c r="F78" i="25" s="1"/>
  <c r="F44" i="25"/>
  <c r="S16" i="30"/>
  <c r="F87" i="25" s="1"/>
  <c r="F53" i="25"/>
  <c r="F42" i="25"/>
  <c r="K33" i="29"/>
  <c r="E25" i="25"/>
  <c r="O20" i="29"/>
  <c r="O33" i="29" l="1"/>
  <c r="E30" i="25"/>
  <c r="Q20" i="29"/>
  <c r="S20" i="30"/>
  <c r="F76" i="25"/>
  <c r="S7" i="29"/>
  <c r="E78" i="25" s="1"/>
  <c r="E44" i="25"/>
  <c r="S5" i="29"/>
  <c r="E42" i="25"/>
  <c r="S6" i="29"/>
  <c r="E77" i="25" s="1"/>
  <c r="E43" i="25"/>
  <c r="S19" i="29"/>
  <c r="E90" i="25" s="1"/>
  <c r="E56" i="25"/>
  <c r="S8" i="29"/>
  <c r="E79" i="25" s="1"/>
  <c r="E45" i="25"/>
  <c r="S17" i="29"/>
  <c r="E88" i="25" s="1"/>
  <c r="E54" i="25"/>
  <c r="S16" i="29"/>
  <c r="E87" i="25" s="1"/>
  <c r="E53" i="25"/>
  <c r="J29" i="27"/>
  <c r="I29" i="27"/>
  <c r="E29" i="27"/>
  <c r="D29" i="27"/>
  <c r="C29" i="27"/>
  <c r="B29" i="27"/>
  <c r="A29" i="27"/>
  <c r="J28" i="27"/>
  <c r="I28" i="27"/>
  <c r="E28" i="27"/>
  <c r="D28" i="27"/>
  <c r="C28" i="27"/>
  <c r="B28" i="27"/>
  <c r="A28" i="27"/>
  <c r="J27" i="27"/>
  <c r="I27" i="27"/>
  <c r="E27" i="27"/>
  <c r="D27" i="27"/>
  <c r="C27" i="27"/>
  <c r="B27" i="27"/>
  <c r="A27" i="27"/>
  <c r="N16" i="27"/>
  <c r="M16" i="27"/>
  <c r="S16" i="27" s="1"/>
  <c r="L16" i="27"/>
  <c r="K16" i="27"/>
  <c r="I16" i="27"/>
  <c r="E16" i="27"/>
  <c r="D16" i="27"/>
  <c r="N15" i="27"/>
  <c r="M15" i="27"/>
  <c r="L15" i="27"/>
  <c r="K15" i="27"/>
  <c r="Q15" i="27" s="1"/>
  <c r="D52" i="25" s="1"/>
  <c r="J15" i="27"/>
  <c r="E15" i="27"/>
  <c r="D15" i="27"/>
  <c r="C15" i="27"/>
  <c r="B15" i="27"/>
  <c r="A15" i="27"/>
  <c r="C14" i="27"/>
  <c r="B14" i="27"/>
  <c r="A14" i="27"/>
  <c r="N13" i="27"/>
  <c r="M13" i="27"/>
  <c r="L13" i="27"/>
  <c r="K13" i="27"/>
  <c r="Q13" i="27" s="1"/>
  <c r="J13" i="27"/>
  <c r="I13" i="27"/>
  <c r="O13" i="27" s="1"/>
  <c r="D15" i="25" s="1"/>
  <c r="C13" i="27"/>
  <c r="B13" i="27"/>
  <c r="A13" i="27"/>
  <c r="N20" i="27"/>
  <c r="M20" i="27"/>
  <c r="L20" i="27"/>
  <c r="K20" i="27"/>
  <c r="I20" i="27"/>
  <c r="E20" i="27"/>
  <c r="D20" i="27"/>
  <c r="C20" i="27"/>
  <c r="B20" i="27"/>
  <c r="A20" i="27"/>
  <c r="N19" i="27"/>
  <c r="M19" i="27"/>
  <c r="L19" i="27"/>
  <c r="K19" i="27"/>
  <c r="I19" i="27"/>
  <c r="E19" i="27"/>
  <c r="D19" i="27"/>
  <c r="C19" i="27"/>
  <c r="B19" i="27"/>
  <c r="A19" i="27"/>
  <c r="N18" i="27"/>
  <c r="M18" i="27"/>
  <c r="L18" i="27"/>
  <c r="K18" i="27"/>
  <c r="I18" i="27"/>
  <c r="E18" i="27"/>
  <c r="D18" i="27"/>
  <c r="C18" i="27"/>
  <c r="B18" i="27"/>
  <c r="A18" i="27"/>
  <c r="N17" i="27"/>
  <c r="M17" i="27"/>
  <c r="L17" i="27"/>
  <c r="K17" i="27"/>
  <c r="I17" i="27"/>
  <c r="E17" i="27"/>
  <c r="D17" i="27"/>
  <c r="C17" i="27"/>
  <c r="B17" i="27"/>
  <c r="A17" i="27"/>
  <c r="N12" i="27"/>
  <c r="M12" i="27"/>
  <c r="L12" i="27"/>
  <c r="K12" i="27"/>
  <c r="J12" i="27"/>
  <c r="I12" i="27"/>
  <c r="O12" i="27" s="1"/>
  <c r="E12" i="27"/>
  <c r="D12" i="27"/>
  <c r="C12" i="27"/>
  <c r="B12" i="27"/>
  <c r="A12" i="27"/>
  <c r="N11" i="27"/>
  <c r="M11" i="27"/>
  <c r="L11" i="27"/>
  <c r="K11" i="27"/>
  <c r="J11" i="27"/>
  <c r="I11" i="27"/>
  <c r="O11" i="27" s="1"/>
  <c r="E11" i="27"/>
  <c r="D11" i="27"/>
  <c r="C11" i="27"/>
  <c r="B11" i="27"/>
  <c r="A11" i="27"/>
  <c r="N10" i="27"/>
  <c r="M10" i="27"/>
  <c r="L10" i="27"/>
  <c r="K10" i="27"/>
  <c r="J10" i="27"/>
  <c r="I10" i="27"/>
  <c r="O10" i="27" s="1"/>
  <c r="E10" i="27"/>
  <c r="D10" i="27"/>
  <c r="C10" i="27"/>
  <c r="B10" i="27"/>
  <c r="A10" i="27"/>
  <c r="N9" i="27"/>
  <c r="M9" i="27"/>
  <c r="L9" i="27"/>
  <c r="K9" i="27"/>
  <c r="J9" i="27"/>
  <c r="I9" i="27"/>
  <c r="O9" i="27" s="1"/>
  <c r="E9" i="27"/>
  <c r="D9" i="27"/>
  <c r="C9" i="27"/>
  <c r="B9" i="27"/>
  <c r="A9" i="27"/>
  <c r="N8" i="27"/>
  <c r="M8" i="27"/>
  <c r="L8" i="27"/>
  <c r="K8" i="27"/>
  <c r="J8" i="27"/>
  <c r="I8" i="27"/>
  <c r="O8" i="27" s="1"/>
  <c r="E8" i="27"/>
  <c r="D8" i="27"/>
  <c r="C8" i="27"/>
  <c r="B8" i="27"/>
  <c r="A8" i="27"/>
  <c r="L7" i="27"/>
  <c r="K7" i="27"/>
  <c r="J7" i="27"/>
  <c r="I7" i="27"/>
  <c r="O7" i="27" s="1"/>
  <c r="E7" i="27"/>
  <c r="D7" i="27"/>
  <c r="C7" i="27"/>
  <c r="B7" i="27"/>
  <c r="A7" i="27"/>
  <c r="N6" i="27"/>
  <c r="M6" i="27"/>
  <c r="L6" i="27"/>
  <c r="K6" i="27"/>
  <c r="J6" i="27"/>
  <c r="I6" i="27"/>
  <c r="O6" i="27" s="1"/>
  <c r="E6" i="27"/>
  <c r="D6" i="27"/>
  <c r="C6" i="27"/>
  <c r="B6" i="27"/>
  <c r="A6" i="27"/>
  <c r="N5" i="27"/>
  <c r="M5" i="27"/>
  <c r="L5" i="27"/>
  <c r="K5" i="27"/>
  <c r="J5" i="27"/>
  <c r="I5" i="27"/>
  <c r="O5" i="27" s="1"/>
  <c r="E5" i="27"/>
  <c r="D5" i="27"/>
  <c r="C5" i="27"/>
  <c r="B5" i="27"/>
  <c r="A5" i="27"/>
  <c r="A2" i="27"/>
  <c r="A24" i="27" s="1"/>
  <c r="Q7" i="27" l="1"/>
  <c r="S7" i="27" s="1"/>
  <c r="O19" i="27"/>
  <c r="D20" i="25" s="1"/>
  <c r="K27" i="27"/>
  <c r="O27" i="27" s="1"/>
  <c r="O18" i="27"/>
  <c r="Q18" i="27" s="1"/>
  <c r="S18" i="27" s="1"/>
  <c r="D88" i="25" s="1"/>
  <c r="D11" i="25"/>
  <c r="Q9" i="27"/>
  <c r="S9" i="27" s="1"/>
  <c r="D80" i="25" s="1"/>
  <c r="E76" i="25"/>
  <c r="S20" i="29"/>
  <c r="D7" i="25"/>
  <c r="Q5" i="27"/>
  <c r="D10" i="25"/>
  <c r="Q8" i="27"/>
  <c r="S8" i="27" s="1"/>
  <c r="D79" i="25" s="1"/>
  <c r="D12" i="25"/>
  <c r="Q10" i="27"/>
  <c r="S10" i="27" s="1"/>
  <c r="D81" i="25" s="1"/>
  <c r="D14" i="25"/>
  <c r="Q12" i="27"/>
  <c r="S12" i="27" s="1"/>
  <c r="D83" i="25" s="1"/>
  <c r="D13" i="25"/>
  <c r="Q11" i="27"/>
  <c r="S11" i="27" s="1"/>
  <c r="D82" i="25" s="1"/>
  <c r="D8" i="25"/>
  <c r="Q6" i="27"/>
  <c r="S6" i="27" s="1"/>
  <c r="D77" i="25" s="1"/>
  <c r="O17" i="27"/>
  <c r="S13" i="27"/>
  <c r="D84" i="25" s="1"/>
  <c r="D50" i="25"/>
  <c r="K28" i="27"/>
  <c r="K29" i="27"/>
  <c r="O29" i="27" s="1"/>
  <c r="D78" i="25"/>
  <c r="D9" i="25"/>
  <c r="S15" i="27"/>
  <c r="O20" i="27"/>
  <c r="D44" i="25" l="1"/>
  <c r="D60" i="25"/>
  <c r="O28" i="27"/>
  <c r="O34" i="27" s="1"/>
  <c r="D26" i="25"/>
  <c r="D61" i="25"/>
  <c r="Q19" i="27"/>
  <c r="S19" i="27" s="1"/>
  <c r="D89" i="25" s="1"/>
  <c r="D46" i="25"/>
  <c r="O21" i="27"/>
  <c r="D19" i="25"/>
  <c r="D49" i="25"/>
  <c r="D48" i="25"/>
  <c r="D43" i="25"/>
  <c r="D45" i="25"/>
  <c r="D21" i="25"/>
  <c r="Q20" i="27"/>
  <c r="D47" i="25"/>
  <c r="D18" i="25"/>
  <c r="Q17" i="27"/>
  <c r="S5" i="27"/>
  <c r="D54" i="25"/>
  <c r="D42" i="25"/>
  <c r="D25" i="25"/>
  <c r="K34" i="27"/>
  <c r="D59" i="25"/>
  <c r="D24" i="25"/>
  <c r="D86" i="25"/>
  <c r="M16" i="2"/>
  <c r="S16" i="2" s="1"/>
  <c r="N16" i="2"/>
  <c r="K16" i="2"/>
  <c r="L16" i="2"/>
  <c r="I16" i="2"/>
  <c r="A2" i="2"/>
  <c r="M7" i="2"/>
  <c r="N7" i="2"/>
  <c r="M8" i="2"/>
  <c r="N8" i="2"/>
  <c r="M9" i="2"/>
  <c r="N9" i="2"/>
  <c r="M10" i="2"/>
  <c r="N10" i="2"/>
  <c r="M11" i="2"/>
  <c r="N11" i="2"/>
  <c r="M12" i="2"/>
  <c r="N12" i="2"/>
  <c r="K7" i="2"/>
  <c r="L7" i="2"/>
  <c r="K8" i="2"/>
  <c r="L8" i="2"/>
  <c r="K9" i="2"/>
  <c r="L9" i="2"/>
  <c r="K10" i="2"/>
  <c r="L10" i="2"/>
  <c r="K11" i="2"/>
  <c r="L11" i="2"/>
  <c r="K12" i="2"/>
  <c r="L12" i="2"/>
  <c r="I7" i="2"/>
  <c r="J7" i="2"/>
  <c r="I8" i="2"/>
  <c r="O8" i="2" s="1"/>
  <c r="J8" i="2"/>
  <c r="I9" i="2"/>
  <c r="O9" i="2" s="1"/>
  <c r="J9" i="2"/>
  <c r="I10" i="2"/>
  <c r="O10" i="2" s="1"/>
  <c r="J10" i="2"/>
  <c r="I11" i="2"/>
  <c r="O11" i="2" s="1"/>
  <c r="J11" i="2"/>
  <c r="I12" i="2"/>
  <c r="O12" i="2" s="1"/>
  <c r="J12" i="2"/>
  <c r="D7" i="2"/>
  <c r="E7" i="2"/>
  <c r="D8" i="2"/>
  <c r="E8" i="2"/>
  <c r="D9" i="2"/>
  <c r="E9" i="2"/>
  <c r="D10" i="2"/>
  <c r="E10" i="2"/>
  <c r="D11" i="2"/>
  <c r="E11" i="2"/>
  <c r="D12" i="2"/>
  <c r="E12" i="2"/>
  <c r="C7" i="2"/>
  <c r="C8" i="2"/>
  <c r="C9" i="2"/>
  <c r="C10" i="2"/>
  <c r="C11" i="2"/>
  <c r="C12" i="2"/>
  <c r="B7" i="2"/>
  <c r="B8" i="2"/>
  <c r="B9" i="2"/>
  <c r="B10" i="2"/>
  <c r="B11" i="2"/>
  <c r="B12" i="2"/>
  <c r="A7" i="2"/>
  <c r="A8" i="2"/>
  <c r="A9" i="2"/>
  <c r="A10" i="2"/>
  <c r="A11" i="2"/>
  <c r="A12" i="2"/>
  <c r="A9" i="25"/>
  <c r="B9" i="25"/>
  <c r="A10" i="25"/>
  <c r="B10" i="25"/>
  <c r="A11" i="25"/>
  <c r="B11" i="25"/>
  <c r="A12" i="25"/>
  <c r="B12" i="25"/>
  <c r="A13" i="25"/>
  <c r="B13" i="25"/>
  <c r="A14" i="25"/>
  <c r="B14" i="25"/>
  <c r="G19" i="1"/>
  <c r="I15" i="27" s="1"/>
  <c r="A48" i="25" l="1"/>
  <c r="A82" i="25"/>
  <c r="A80" i="25"/>
  <c r="A46" i="25"/>
  <c r="A81" i="25"/>
  <c r="A47" i="25"/>
  <c r="B80" i="25"/>
  <c r="B46" i="25"/>
  <c r="B79" i="25"/>
  <c r="B45" i="25"/>
  <c r="A44" i="25"/>
  <c r="A78" i="25"/>
  <c r="B83" i="25"/>
  <c r="B49" i="25"/>
  <c r="A49" i="25"/>
  <c r="A83" i="25"/>
  <c r="A79" i="25"/>
  <c r="A45" i="25"/>
  <c r="B47" i="25"/>
  <c r="B81" i="25"/>
  <c r="B48" i="25"/>
  <c r="B82" i="25"/>
  <c r="B44" i="25"/>
  <c r="B78" i="25"/>
  <c r="D55" i="25"/>
  <c r="Q21" i="27"/>
  <c r="D30" i="25"/>
  <c r="D76" i="25"/>
  <c r="S17" i="27"/>
  <c r="D87" i="25" s="1"/>
  <c r="D53" i="25"/>
  <c r="S20" i="27"/>
  <c r="D90" i="25" s="1"/>
  <c r="D56" i="25"/>
  <c r="C12" i="25"/>
  <c r="Q10" i="2"/>
  <c r="C11" i="25"/>
  <c r="Q9" i="2"/>
  <c r="C13" i="25"/>
  <c r="Q11" i="2"/>
  <c r="C14" i="25"/>
  <c r="Q12" i="2"/>
  <c r="C10" i="25"/>
  <c r="Q8" i="2"/>
  <c r="D65" i="25"/>
  <c r="D96" i="25"/>
  <c r="D17" i="25"/>
  <c r="O7" i="2"/>
  <c r="S9" i="2" l="1"/>
  <c r="C80" i="25" s="1"/>
  <c r="C46" i="25"/>
  <c r="S11" i="2"/>
  <c r="C82" i="25" s="1"/>
  <c r="C48" i="25"/>
  <c r="S10" i="2"/>
  <c r="C81" i="25" s="1"/>
  <c r="C47" i="25"/>
  <c r="S12" i="2"/>
  <c r="C83" i="25" s="1"/>
  <c r="C49" i="25"/>
  <c r="S8" i="2"/>
  <c r="C79" i="25" s="1"/>
  <c r="C45" i="25"/>
  <c r="S21" i="27"/>
  <c r="C9" i="25"/>
  <c r="Q7" i="2"/>
  <c r="C44" i="25" s="1"/>
  <c r="B24" i="25"/>
  <c r="B25" i="25"/>
  <c r="B26" i="25"/>
  <c r="A25" i="25"/>
  <c r="A26" i="25"/>
  <c r="A24" i="25"/>
  <c r="B7" i="25"/>
  <c r="B8" i="25"/>
  <c r="B18" i="25"/>
  <c r="B19" i="25"/>
  <c r="B20" i="25"/>
  <c r="B21" i="25"/>
  <c r="B15" i="25"/>
  <c r="B16" i="25"/>
  <c r="B17" i="25"/>
  <c r="A8" i="25"/>
  <c r="A18" i="25"/>
  <c r="A19" i="25"/>
  <c r="A20" i="25"/>
  <c r="A21" i="25"/>
  <c r="A15" i="25"/>
  <c r="A16" i="25"/>
  <c r="A17" i="25"/>
  <c r="A7" i="25"/>
  <c r="A2" i="25"/>
  <c r="B86" i="25" l="1"/>
  <c r="B52" i="25"/>
  <c r="B42" i="25"/>
  <c r="B76" i="25"/>
  <c r="B43" i="25"/>
  <c r="B77" i="25"/>
  <c r="A95" i="25"/>
  <c r="A61" i="25"/>
  <c r="B90" i="25"/>
  <c r="B56" i="25"/>
  <c r="A94" i="25"/>
  <c r="A60" i="25"/>
  <c r="A76" i="25"/>
  <c r="A42" i="25"/>
  <c r="A43" i="25"/>
  <c r="A77" i="25"/>
  <c r="A86" i="25"/>
  <c r="A52" i="25"/>
  <c r="A85" i="25"/>
  <c r="A51" i="25"/>
  <c r="B84" i="25"/>
  <c r="B50" i="25"/>
  <c r="A55" i="25"/>
  <c r="A89" i="25"/>
  <c r="B55" i="25"/>
  <c r="B89" i="25"/>
  <c r="B95" i="25"/>
  <c r="B61" i="25"/>
  <c r="B51" i="25"/>
  <c r="B85" i="25"/>
  <c r="B54" i="25"/>
  <c r="B88" i="25"/>
  <c r="B94" i="25"/>
  <c r="B60" i="25"/>
  <c r="A93" i="25"/>
  <c r="A59" i="25"/>
  <c r="A84" i="25"/>
  <c r="A50" i="25"/>
  <c r="A90" i="25"/>
  <c r="A56" i="25"/>
  <c r="A88" i="25"/>
  <c r="A54" i="25"/>
  <c r="A37" i="25"/>
  <c r="A71" i="25"/>
  <c r="A87" i="25"/>
  <c r="A53" i="25"/>
  <c r="B87" i="25"/>
  <c r="B53" i="25"/>
  <c r="B93" i="25"/>
  <c r="B59" i="25"/>
  <c r="S7" i="2"/>
  <c r="C78" i="25" s="1"/>
  <c r="A2" i="24"/>
  <c r="A2" i="23"/>
  <c r="A21" i="23" s="1"/>
  <c r="A40" i="23" s="1"/>
  <c r="A2" i="20"/>
  <c r="G14" i="17"/>
  <c r="O36" i="23" s="1"/>
  <c r="I10" i="17"/>
  <c r="O49" i="23" s="1"/>
  <c r="G12" i="17"/>
  <c r="O32" i="23" s="1"/>
  <c r="E7" i="17"/>
  <c r="O7" i="23" s="1"/>
  <c r="A2" i="17"/>
  <c r="G13" i="17" l="1"/>
  <c r="O35" i="23" s="1"/>
  <c r="I6" i="17"/>
  <c r="O44" i="23" s="1"/>
  <c r="I12" i="17"/>
  <c r="O51" i="23" s="1"/>
  <c r="I14" i="17"/>
  <c r="O55" i="23" s="1"/>
  <c r="I8" i="17"/>
  <c r="O46" i="23" s="1"/>
  <c r="E8" i="17"/>
  <c r="O8" i="23" s="1"/>
  <c r="I9" i="17"/>
  <c r="O48" i="23" s="1"/>
  <c r="G6" i="17"/>
  <c r="O25" i="23" s="1"/>
  <c r="I11" i="17"/>
  <c r="O50" i="23" s="1"/>
  <c r="E7" i="20"/>
  <c r="D9" i="24" s="1"/>
  <c r="J9" i="24" s="1"/>
  <c r="O27" i="23"/>
  <c r="G11" i="17"/>
  <c r="O31" i="23" s="1"/>
  <c r="I13" i="17"/>
  <c r="O54" i="23" s="1"/>
  <c r="Q54" i="23" s="1"/>
  <c r="E9" i="17"/>
  <c r="O10" i="23" s="1"/>
  <c r="G7" i="17"/>
  <c r="O26" i="23" s="1"/>
  <c r="E11" i="17"/>
  <c r="O12" i="23" s="1"/>
  <c r="G9" i="17"/>
  <c r="O29" i="23" s="1"/>
  <c r="I7" i="17"/>
  <c r="O45" i="23" s="1"/>
  <c r="E10" i="17"/>
  <c r="O11" i="23" s="1"/>
  <c r="E12" i="17"/>
  <c r="O13" i="23" s="1"/>
  <c r="G10" i="17"/>
  <c r="O30" i="23" s="1"/>
  <c r="E13" i="17"/>
  <c r="O16" i="23" s="1"/>
  <c r="Q16" i="23" s="1"/>
  <c r="E6" i="17"/>
  <c r="O6" i="23" s="1"/>
  <c r="E14" i="17"/>
  <c r="O17" i="23" s="1"/>
  <c r="O37" i="23" l="1"/>
  <c r="I50" i="25" s="1"/>
  <c r="O56" i="23"/>
  <c r="I84" i="25" s="1"/>
  <c r="O18" i="23"/>
  <c r="I15" i="25" s="1"/>
  <c r="E8" i="20"/>
  <c r="D10" i="24" s="1"/>
  <c r="J10" i="24" s="1"/>
  <c r="E11" i="20"/>
  <c r="D14" i="24" s="1"/>
  <c r="J14" i="24" s="1"/>
  <c r="E9" i="20"/>
  <c r="D12" i="24" s="1"/>
  <c r="J12" i="24" s="1"/>
  <c r="E13" i="20"/>
  <c r="D16" i="24" s="1"/>
  <c r="J16" i="24" s="1"/>
  <c r="E10" i="20"/>
  <c r="D13" i="24" s="1"/>
  <c r="J13" i="24" s="1"/>
  <c r="E6" i="20"/>
  <c r="Q47" i="23"/>
  <c r="E15" i="17"/>
  <c r="E10" i="16"/>
  <c r="C10" i="23" s="1"/>
  <c r="E7" i="16"/>
  <c r="C7" i="23" s="1"/>
  <c r="C6" i="23"/>
  <c r="E8" i="16"/>
  <c r="C8" i="23" s="1"/>
  <c r="E13" i="16"/>
  <c r="C14" i="23" s="1"/>
  <c r="E12" i="16"/>
  <c r="C13" i="23" s="1"/>
  <c r="E11" i="16"/>
  <c r="C11" i="23" s="1"/>
  <c r="E16" i="16"/>
  <c r="C17" i="23" s="1"/>
  <c r="D17" i="23" s="1"/>
  <c r="E17" i="23" s="1"/>
  <c r="G15" i="17"/>
  <c r="Q51" i="23" l="1"/>
  <c r="D6" i="24"/>
  <c r="E23" i="20"/>
  <c r="C29" i="23"/>
  <c r="D10" i="23"/>
  <c r="C30" i="23"/>
  <c r="D11" i="23"/>
  <c r="C36" i="23"/>
  <c r="C33" i="23"/>
  <c r="D14" i="23"/>
  <c r="C26" i="23"/>
  <c r="D7" i="23"/>
  <c r="C25" i="23"/>
  <c r="C18" i="23"/>
  <c r="I7" i="25" s="1"/>
  <c r="D6" i="23"/>
  <c r="C32" i="23"/>
  <c r="D13" i="23"/>
  <c r="C27" i="23"/>
  <c r="D8" i="23"/>
  <c r="Q9" i="23"/>
  <c r="I15" i="17"/>
  <c r="J6" i="24" l="1"/>
  <c r="J27" i="24" s="1"/>
  <c r="D27" i="24"/>
  <c r="I9" i="25"/>
  <c r="I44" i="25" s="1"/>
  <c r="I42" i="25"/>
  <c r="I8" i="25"/>
  <c r="I43" i="25" s="1"/>
  <c r="C37" i="23"/>
  <c r="E6" i="23"/>
  <c r="D18" i="23"/>
  <c r="D25" i="23"/>
  <c r="D36" i="23"/>
  <c r="E36" i="23"/>
  <c r="E56" i="23"/>
  <c r="I78" i="25" s="1"/>
  <c r="D56" i="23"/>
  <c r="I77" i="25" s="1"/>
  <c r="D30" i="23"/>
  <c r="E11" i="23"/>
  <c r="E30" i="23" s="1"/>
  <c r="D27" i="23"/>
  <c r="E8" i="23"/>
  <c r="E27" i="23" s="1"/>
  <c r="D33" i="23"/>
  <c r="E14" i="23"/>
  <c r="E33" i="23" s="1"/>
  <c r="D26" i="23"/>
  <c r="E7" i="23"/>
  <c r="E10" i="23"/>
  <c r="E29" i="23" s="1"/>
  <c r="D29" i="23"/>
  <c r="E13" i="23"/>
  <c r="D32" i="23"/>
  <c r="Q45" i="23"/>
  <c r="I59" i="25"/>
  <c r="I61" i="25"/>
  <c r="I95" i="25" s="1"/>
  <c r="Q28" i="23"/>
  <c r="Q52" i="23"/>
  <c r="I25" i="25" l="1"/>
  <c r="I60" i="25" s="1"/>
  <c r="D37" i="23"/>
  <c r="E32" i="23"/>
  <c r="Q32" i="23" s="1"/>
  <c r="Q13" i="23"/>
  <c r="E18" i="23"/>
  <c r="E25" i="23"/>
  <c r="E26" i="23"/>
  <c r="Q26" i="23" s="1"/>
  <c r="Q7" i="23"/>
  <c r="I93" i="25"/>
  <c r="A2" i="16"/>
  <c r="A2" i="15"/>
  <c r="I30" i="25" l="1"/>
  <c r="I94" i="25"/>
  <c r="I99" i="25" s="1"/>
  <c r="I65" i="25"/>
  <c r="E37" i="23"/>
  <c r="Q49" i="23"/>
  <c r="E17" i="16"/>
  <c r="Q11" i="23" l="1"/>
  <c r="Q14" i="23"/>
  <c r="Q33" i="23" l="1"/>
  <c r="Q30" i="23"/>
  <c r="G61" i="25" l="1"/>
  <c r="G95" i="25" s="1"/>
  <c r="G60" i="25"/>
  <c r="G94" i="25" s="1"/>
  <c r="E60" i="25" l="1"/>
  <c r="E94" i="25" s="1"/>
  <c r="G59" i="25"/>
  <c r="G65" i="25" s="1"/>
  <c r="F60" i="25"/>
  <c r="F94" i="25" s="1"/>
  <c r="F61" i="25"/>
  <c r="F95" i="25" s="1"/>
  <c r="E61" i="25"/>
  <c r="E95" i="25" s="1"/>
  <c r="H61" i="25"/>
  <c r="H95" i="25" s="1"/>
  <c r="H60" i="25"/>
  <c r="H94" i="25" s="1"/>
  <c r="G91" i="25"/>
  <c r="G22" i="25" l="1"/>
  <c r="E91" i="25"/>
  <c r="F91" i="25"/>
  <c r="F22" i="25"/>
  <c r="H91" i="25"/>
  <c r="E57" i="25"/>
  <c r="G93" i="25"/>
  <c r="G99" i="25" s="1"/>
  <c r="F57" i="25"/>
  <c r="E22" i="25"/>
  <c r="H22" i="25"/>
  <c r="E59" i="25"/>
  <c r="E65" i="25" s="1"/>
  <c r="G57" i="25"/>
  <c r="H57" i="25"/>
  <c r="Q48" i="23" l="1"/>
  <c r="Q55" i="23"/>
  <c r="E32" i="25"/>
  <c r="E33" i="25" s="1"/>
  <c r="G101" i="25"/>
  <c r="E93" i="25"/>
  <c r="E67" i="25"/>
  <c r="E68" i="25" s="1"/>
  <c r="G67" i="25"/>
  <c r="G68" i="25" s="1"/>
  <c r="G32" i="25"/>
  <c r="H59" i="25"/>
  <c r="H65" i="25" s="1"/>
  <c r="H32" i="25"/>
  <c r="F59" i="25"/>
  <c r="F65" i="25" s="1"/>
  <c r="F32" i="25"/>
  <c r="F33" i="25" s="1"/>
  <c r="B27" i="2"/>
  <c r="C27" i="2"/>
  <c r="D27" i="2"/>
  <c r="E27" i="2"/>
  <c r="B28" i="2"/>
  <c r="C28" i="2"/>
  <c r="D28" i="2"/>
  <c r="E28" i="2"/>
  <c r="B29" i="2"/>
  <c r="C29" i="2"/>
  <c r="D29" i="2"/>
  <c r="E29" i="2"/>
  <c r="A28" i="2"/>
  <c r="A29" i="2"/>
  <c r="A27" i="2"/>
  <c r="J27" i="2"/>
  <c r="J28" i="2"/>
  <c r="J29" i="2"/>
  <c r="I28" i="2"/>
  <c r="I29" i="2"/>
  <c r="I27" i="2"/>
  <c r="N15" i="2"/>
  <c r="M15" i="2"/>
  <c r="N5" i="2"/>
  <c r="N6" i="2"/>
  <c r="N17" i="2"/>
  <c r="N18" i="2"/>
  <c r="N19" i="2"/>
  <c r="N20" i="2"/>
  <c r="M6" i="2"/>
  <c r="M17" i="2"/>
  <c r="M18" i="2"/>
  <c r="M19" i="2"/>
  <c r="M20" i="2"/>
  <c r="C84" i="25"/>
  <c r="M5" i="2"/>
  <c r="L15" i="2"/>
  <c r="K15" i="2"/>
  <c r="Q15" i="2" s="1"/>
  <c r="C52" i="25" s="1"/>
  <c r="L5" i="2"/>
  <c r="L6" i="2"/>
  <c r="L17" i="2"/>
  <c r="L18" i="2"/>
  <c r="L19" i="2"/>
  <c r="L20" i="2"/>
  <c r="L13" i="2"/>
  <c r="K6" i="2"/>
  <c r="K17" i="2"/>
  <c r="K18" i="2"/>
  <c r="K19" i="2"/>
  <c r="Q19" i="2" s="1"/>
  <c r="K20" i="2"/>
  <c r="K13" i="2"/>
  <c r="Q13" i="2" s="1"/>
  <c r="K5" i="2"/>
  <c r="D16" i="2"/>
  <c r="E16" i="2"/>
  <c r="I6" i="2"/>
  <c r="O6" i="2" s="1"/>
  <c r="J6" i="2"/>
  <c r="I17" i="2"/>
  <c r="I18" i="2"/>
  <c r="I20" i="2"/>
  <c r="I13" i="2"/>
  <c r="O13" i="2" s="1"/>
  <c r="I15" i="2"/>
  <c r="J15" i="2"/>
  <c r="J5" i="2"/>
  <c r="I5" i="2"/>
  <c r="O5" i="2" s="1"/>
  <c r="B5" i="2"/>
  <c r="C5" i="2"/>
  <c r="D5" i="2"/>
  <c r="E5" i="2"/>
  <c r="B6" i="2"/>
  <c r="C6" i="2"/>
  <c r="D6" i="2"/>
  <c r="E6" i="2"/>
  <c r="B17" i="2"/>
  <c r="C17" i="2"/>
  <c r="D17" i="2"/>
  <c r="E17" i="2"/>
  <c r="B18" i="2"/>
  <c r="C18" i="2"/>
  <c r="D18" i="2"/>
  <c r="E18" i="2"/>
  <c r="B19" i="2"/>
  <c r="C19" i="2"/>
  <c r="B20" i="2"/>
  <c r="C20" i="2"/>
  <c r="D20" i="2"/>
  <c r="E20" i="2"/>
  <c r="B13" i="2"/>
  <c r="C13" i="2"/>
  <c r="B14" i="2"/>
  <c r="C14" i="2"/>
  <c r="B15" i="2"/>
  <c r="C15" i="2"/>
  <c r="D15" i="2"/>
  <c r="E15" i="2"/>
  <c r="A6" i="2"/>
  <c r="A17" i="2"/>
  <c r="A18" i="2"/>
  <c r="A19" i="2"/>
  <c r="A20" i="2"/>
  <c r="A13" i="2"/>
  <c r="A14" i="2"/>
  <c r="A15" i="2"/>
  <c r="A5" i="2"/>
  <c r="A24" i="2"/>
  <c r="K27" i="2" l="1"/>
  <c r="O27" i="2" s="1"/>
  <c r="C50" i="25"/>
  <c r="S19" i="2"/>
  <c r="C55" i="25"/>
  <c r="G33" i="25"/>
  <c r="C8" i="25"/>
  <c r="Q6" i="2"/>
  <c r="Q5" i="2"/>
  <c r="C42" i="25" s="1"/>
  <c r="C24" i="25"/>
  <c r="C15" i="25"/>
  <c r="K29" i="2"/>
  <c r="K28" i="2"/>
  <c r="O28" i="2" s="1"/>
  <c r="E99" i="25"/>
  <c r="E101" i="25" s="1"/>
  <c r="Q10" i="23"/>
  <c r="O20" i="2"/>
  <c r="O18" i="2"/>
  <c r="C17" i="25"/>
  <c r="S15" i="2"/>
  <c r="C86" i="25" s="1"/>
  <c r="C20" i="25"/>
  <c r="C89" i="25"/>
  <c r="O17" i="2"/>
  <c r="Q17" i="23"/>
  <c r="Q29" i="23"/>
  <c r="C7" i="25"/>
  <c r="F93" i="25"/>
  <c r="F67" i="25"/>
  <c r="F68" i="25" s="1"/>
  <c r="D94" i="25"/>
  <c r="D95" i="25"/>
  <c r="Q50" i="23"/>
  <c r="H93" i="25"/>
  <c r="H67" i="25"/>
  <c r="C26" i="25" l="1"/>
  <c r="O29" i="2"/>
  <c r="O34" i="2" s="1"/>
  <c r="S6" i="2"/>
  <c r="C77" i="25" s="1"/>
  <c r="C43" i="25"/>
  <c r="C61" i="25"/>
  <c r="C95" i="25" s="1"/>
  <c r="O21" i="2"/>
  <c r="C19" i="25"/>
  <c r="Q18" i="2"/>
  <c r="C54" i="25" s="1"/>
  <c r="C21" i="25"/>
  <c r="Q20" i="2"/>
  <c r="C56" i="25" s="1"/>
  <c r="C18" i="25"/>
  <c r="Q17" i="2"/>
  <c r="K34" i="2"/>
  <c r="S5" i="2"/>
  <c r="C25" i="25"/>
  <c r="H99" i="25"/>
  <c r="H101" i="25" s="1"/>
  <c r="F99" i="25"/>
  <c r="F101" i="25" s="1"/>
  <c r="C59" i="25"/>
  <c r="Q36" i="23"/>
  <c r="D91" i="25"/>
  <c r="D57" i="25"/>
  <c r="Q12" i="23"/>
  <c r="D22" i="25"/>
  <c r="D93" i="25"/>
  <c r="D99" i="25" s="1"/>
  <c r="A23" i="1"/>
  <c r="Q6" i="23"/>
  <c r="Q21" i="2" l="1"/>
  <c r="C53" i="25"/>
  <c r="C57" i="25" s="1"/>
  <c r="C22" i="25"/>
  <c r="C60" i="25"/>
  <c r="C94" i="25" s="1"/>
  <c r="S20" i="2"/>
  <c r="C90" i="25" s="1"/>
  <c r="S17" i="2"/>
  <c r="C87" i="25" s="1"/>
  <c r="S18" i="2"/>
  <c r="C88" i="25" s="1"/>
  <c r="C76" i="25"/>
  <c r="C30" i="25"/>
  <c r="C93" i="25"/>
  <c r="D67" i="25"/>
  <c r="D68" i="25" s="1"/>
  <c r="D101" i="25"/>
  <c r="Q31" i="23"/>
  <c r="Q35" i="23"/>
  <c r="D32" i="25"/>
  <c r="D33" i="25" s="1"/>
  <c r="Q44" i="23"/>
  <c r="I22" i="25"/>
  <c r="I32" i="25" s="1"/>
  <c r="Q25" i="23"/>
  <c r="C65" i="25" l="1"/>
  <c r="C67" i="25" s="1"/>
  <c r="C32" i="25"/>
  <c r="C34" i="25" s="1"/>
  <c r="C99" i="25"/>
  <c r="S21" i="2"/>
  <c r="C91" i="25"/>
  <c r="Q18" i="23"/>
  <c r="Q8" i="23"/>
  <c r="I57" i="25"/>
  <c r="I67" i="25" s="1"/>
  <c r="I91" i="25"/>
  <c r="I101" i="25" s="1"/>
  <c r="C33" i="25" l="1"/>
  <c r="C101" i="25"/>
  <c r="C68" i="25"/>
  <c r="Q37" i="23"/>
  <c r="Q46" i="23"/>
  <c r="Q27" i="23"/>
  <c r="Q56" i="23" l="1"/>
</calcChain>
</file>

<file path=xl/sharedStrings.xml><?xml version="1.0" encoding="utf-8"?>
<sst xmlns="http://schemas.openxmlformats.org/spreadsheetml/2006/main" count="2336" uniqueCount="381">
  <si>
    <t>EU ID</t>
  </si>
  <si>
    <t>Fuel</t>
  </si>
  <si>
    <t>Rating/Size</t>
  </si>
  <si>
    <t>Maximum Operation</t>
  </si>
  <si>
    <t>MMBtu/hr</t>
  </si>
  <si>
    <t>hr/yr</t>
  </si>
  <si>
    <t>kW</t>
  </si>
  <si>
    <t>N/A</t>
  </si>
  <si>
    <t>MMscf/yr</t>
  </si>
  <si>
    <t>lb/hr</t>
  </si>
  <si>
    <t>Diesel</t>
  </si>
  <si>
    <t>Diesel Fuel Heat Content:</t>
  </si>
  <si>
    <t>Btu/gal</t>
  </si>
  <si>
    <t>Fuel Gas Heat Content:</t>
  </si>
  <si>
    <t>Btu/scf</t>
  </si>
  <si>
    <t>Btu/hp-hr</t>
  </si>
  <si>
    <t>Reference</t>
  </si>
  <si>
    <t>Emission Factor</t>
  </si>
  <si>
    <t>AP-42 Table 1.4-1</t>
  </si>
  <si>
    <t>lb/MMscf</t>
  </si>
  <si>
    <t>lb/MMBtu</t>
  </si>
  <si>
    <t>AP-42 Table 13.5-1</t>
  </si>
  <si>
    <t>lb/kgal</t>
  </si>
  <si>
    <t>Total</t>
  </si>
  <si>
    <t>tpy</t>
  </si>
  <si>
    <t>Notes:</t>
  </si>
  <si>
    <t>Benzene</t>
  </si>
  <si>
    <t>n-Hexane</t>
  </si>
  <si>
    <t>Hazardous Air Pollutant</t>
  </si>
  <si>
    <t>Acetaldehyde</t>
  </si>
  <si>
    <t>Acrolein</t>
  </si>
  <si>
    <t>1,3 Butadiene</t>
  </si>
  <si>
    <t>Ethyl benzene</t>
  </si>
  <si>
    <t>Formaldehyde</t>
  </si>
  <si>
    <t>Polycyclic Organic Matter (POM)</t>
  </si>
  <si>
    <t>Toluene</t>
  </si>
  <si>
    <t xml:space="preserve">    Naphthalene</t>
  </si>
  <si>
    <t>Xylenes (isomers and mixtures)</t>
  </si>
  <si>
    <t>Arsenic Compounds (inorganic including arsine)</t>
  </si>
  <si>
    <t>Cadmium Compounds</t>
  </si>
  <si>
    <t>Chromium Compounds</t>
  </si>
  <si>
    <t>Lead Compounds</t>
  </si>
  <si>
    <t>Manganese Compounds</t>
  </si>
  <si>
    <t>Mercury Compounds</t>
  </si>
  <si>
    <t>Nickel Compounds</t>
  </si>
  <si>
    <t>CAS No.</t>
  </si>
  <si>
    <t>EU ID 1</t>
  </si>
  <si>
    <t>EU ID 3</t>
  </si>
  <si>
    <t>Reference: VCAPCD</t>
  </si>
  <si>
    <t>kgal @</t>
  </si>
  <si>
    <t>CO</t>
  </si>
  <si>
    <t>VOC</t>
  </si>
  <si>
    <t>HAPs</t>
  </si>
  <si>
    <r>
      <t>NO</t>
    </r>
    <r>
      <rPr>
        <b/>
        <vertAlign val="subscript"/>
        <sz val="10"/>
        <color theme="1"/>
        <rFont val="Arial"/>
        <family val="2"/>
      </rPr>
      <t>X</t>
    </r>
  </si>
  <si>
    <r>
      <t>PM</t>
    </r>
    <r>
      <rPr>
        <b/>
        <vertAlign val="subscript"/>
        <sz val="10"/>
        <color theme="1"/>
        <rFont val="Arial"/>
        <family val="2"/>
      </rPr>
      <t>10</t>
    </r>
  </si>
  <si>
    <r>
      <t>CO</t>
    </r>
    <r>
      <rPr>
        <b/>
        <vertAlign val="subscript"/>
        <sz val="10"/>
        <color theme="1"/>
        <rFont val="Arial"/>
        <family val="2"/>
      </rPr>
      <t>2</t>
    </r>
    <r>
      <rPr>
        <b/>
        <sz val="10"/>
        <color theme="1"/>
        <rFont val="Arial"/>
        <family val="2"/>
      </rPr>
      <t>e</t>
    </r>
  </si>
  <si>
    <t>Significant Unit Total</t>
  </si>
  <si>
    <t>Insignificant Unit Total</t>
  </si>
  <si>
    <t>Total Emissions</t>
  </si>
  <si>
    <t>Major/Minor</t>
  </si>
  <si>
    <t>Total Assessable Emissions</t>
  </si>
  <si>
    <t>Unlimited Potential Emissions (tpy)</t>
  </si>
  <si>
    <t>Solar Centaur T4500</t>
  </si>
  <si>
    <t>#1 Bingham WF Pump Drive</t>
  </si>
  <si>
    <t>hp</t>
  </si>
  <si>
    <t>#2 Bingham WF Pump Drive</t>
  </si>
  <si>
    <t>4a</t>
  </si>
  <si>
    <t>West Compressor Drive</t>
  </si>
  <si>
    <t>Solar Saturn T1200</t>
  </si>
  <si>
    <t>Oil Shipping Pump Drive</t>
  </si>
  <si>
    <t>#1 AC Gen. Drive</t>
  </si>
  <si>
    <t>#2 AC Gen. Drive</t>
  </si>
  <si>
    <t>#3 AC Gen. Drive</t>
  </si>
  <si>
    <t>#4 AC Gen. Drive</t>
  </si>
  <si>
    <t>19a</t>
  </si>
  <si>
    <t>Riello AR 400 Boiler</t>
  </si>
  <si>
    <t>#1 Glycol Water Heater</t>
  </si>
  <si>
    <t>19b</t>
  </si>
  <si>
    <t>#2 Glycol Water Heater</t>
  </si>
  <si>
    <t>20a</t>
  </si>
  <si>
    <t>#3 Glycol Water Heater</t>
  </si>
  <si>
    <t>Caterpillar 3406</t>
  </si>
  <si>
    <t>West Crane</t>
  </si>
  <si>
    <t>Caterpillar 3208</t>
  </si>
  <si>
    <t>East Crane-Skagit</t>
  </si>
  <si>
    <t>26a</t>
  </si>
  <si>
    <t>Detroit Diesel Series 60 6063HV35</t>
  </si>
  <si>
    <t>Emergency AC. Gen. Drive</t>
  </si>
  <si>
    <t>Caterpillar D-330C</t>
  </si>
  <si>
    <t>Fire Water Pump Drive</t>
  </si>
  <si>
    <t>Flare (South)</t>
  </si>
  <si>
    <t>Flare (SW)</t>
  </si>
  <si>
    <t>Solar Taurus 60 T-7300S</t>
  </si>
  <si>
    <t>Turbine</t>
  </si>
  <si>
    <t>MW</t>
  </si>
  <si>
    <t>Clayton ROG-60-1 Boiler</t>
  </si>
  <si>
    <t>Boiler</t>
  </si>
  <si>
    <t>Portable Space Heaters</t>
  </si>
  <si>
    <t>Clayton Sigma Fire</t>
  </si>
  <si>
    <t>bhp</t>
  </si>
  <si>
    <t>Hilcorp Alaska, LLC - Grayling Platform</t>
  </si>
  <si>
    <t>EU IDs 1, 3, 4a Heat Rate:</t>
  </si>
  <si>
    <t>EU ID 14 Heat Rate:</t>
  </si>
  <si>
    <t>EU ID 15 through 18 Heat Rate:</t>
  </si>
  <si>
    <t>Btu/kW-hr</t>
  </si>
  <si>
    <t>EU ID 31 Heat Rate:</t>
  </si>
  <si>
    <t>Boiler Horsepower Conversion:</t>
  </si>
  <si>
    <t>Btu/hr/bhp</t>
  </si>
  <si>
    <t>AP-42 Table 3.3-1</t>
  </si>
  <si>
    <t>AP-42 Table 13.5-2</t>
  </si>
  <si>
    <t>2010 Source Test</t>
  </si>
  <si>
    <t>AP-42 Table 1.3-1</t>
  </si>
  <si>
    <t>AP-42 Table 1.4-2</t>
  </si>
  <si>
    <t>AP-42 Table 3.1-2a</t>
  </si>
  <si>
    <t>Mass Balance</t>
  </si>
  <si>
    <t>wt.%S</t>
  </si>
  <si>
    <t>GHG Emission Factors and Global Warming Potential (GWP) (40 CFR 98 Tables C-1 and C-2):</t>
  </si>
  <si>
    <t>GHG Emission Factors (kg/MMBtu):</t>
  </si>
  <si>
    <t>Fuel Gas</t>
  </si>
  <si>
    <t>GWP</t>
  </si>
  <si>
    <t>Unlimited Potential Emissions</t>
  </si>
  <si>
    <t>MMBtu @</t>
  </si>
  <si>
    <t>EU ID 4a</t>
  </si>
  <si>
    <t>EU ID 1, 3, or 4a</t>
  </si>
  <si>
    <t>EU ID 14</t>
  </si>
  <si>
    <t>EU ID 15, 17, or 18</t>
  </si>
  <si>
    <t>EU ID 15</t>
  </si>
  <si>
    <t>EU ID 16</t>
  </si>
  <si>
    <t>EU ID 31</t>
  </si>
  <si>
    <t>EU ID 17</t>
  </si>
  <si>
    <t>EU ID 18</t>
  </si>
  <si>
    <t>EU ID 19a, 19b, or 20a</t>
  </si>
  <si>
    <t>2.5 MMBtu/hr Boiler</t>
  </si>
  <si>
    <t>50 bhp Boiler</t>
  </si>
  <si>
    <t>MMscf @</t>
  </si>
  <si>
    <t>Reference: AP-42, Table 3.3-2</t>
  </si>
  <si>
    <t>EU ID 24</t>
  </si>
  <si>
    <t>MMBtu@</t>
  </si>
  <si>
    <t>EU ID 25</t>
  </si>
  <si>
    <t>EU ID 27</t>
  </si>
  <si>
    <t>28 &amp; 29</t>
  </si>
  <si>
    <t>EU IDs 28 &amp; 29</t>
  </si>
  <si>
    <t>8 MMBtu/hr Heaters</t>
  </si>
  <si>
    <t>Beryllium Compounds</t>
  </si>
  <si>
    <t>Selenium Compounds</t>
  </si>
  <si>
    <r>
      <t>lb/10</t>
    </r>
    <r>
      <rPr>
        <vertAlign val="superscript"/>
        <sz val="10"/>
        <color theme="1"/>
        <rFont val="Arial"/>
        <family val="2"/>
      </rPr>
      <t>12</t>
    </r>
    <r>
      <rPr>
        <sz val="10"/>
        <color theme="1"/>
        <rFont val="Arial"/>
        <family val="2"/>
      </rPr>
      <t xml:space="preserve"> Btu</t>
    </r>
  </si>
  <si>
    <t>Gas Boiler 
(2.5 MMBtu/hr)</t>
  </si>
  <si>
    <t>Diesel Heaters (8 MMBtu/hr)</t>
  </si>
  <si>
    <t>Gas Boiler
(50 bhp)</t>
  </si>
  <si>
    <t>EU ID 26a</t>
  </si>
  <si>
    <t>EU ID 19a 
(4 MMBtu/hr)</t>
  </si>
  <si>
    <t>EU ID 20a
(4 MMBtu/hr)</t>
  </si>
  <si>
    <t>EU ID 19b
(4 MMBtu/hr)</t>
  </si>
  <si>
    <t>AP-42 Table 1.3-1 &amp; 2</t>
  </si>
  <si>
    <t>dscf/min</t>
  </si>
  <si>
    <t>ppmvd</t>
  </si>
  <si>
    <t>Maximum annual operation for all units based on full-time annual operation is used to calculate unlimited potential emissions.</t>
  </si>
  <si>
    <t>Limited Potential Emissions</t>
  </si>
  <si>
    <r>
      <t xml:space="preserve">Limited Potential Operation </t>
    </r>
    <r>
      <rPr>
        <b/>
        <vertAlign val="superscript"/>
        <sz val="10"/>
        <color theme="1"/>
        <rFont val="Arial"/>
        <family val="2"/>
      </rPr>
      <t>1</t>
    </r>
  </si>
  <si>
    <r>
      <t xml:space="preserve">Unlimited Potential Operation </t>
    </r>
    <r>
      <rPr>
        <b/>
        <vertAlign val="superscript"/>
        <sz val="10"/>
        <color theme="1"/>
        <rFont val="Arial"/>
        <family val="2"/>
      </rPr>
      <t>2</t>
    </r>
  </si>
  <si>
    <t>Estimated Actual Emissions</t>
  </si>
  <si>
    <r>
      <t xml:space="preserve">hr/yr </t>
    </r>
    <r>
      <rPr>
        <vertAlign val="superscript"/>
        <sz val="10"/>
        <color theme="1"/>
        <rFont val="Arial"/>
        <family val="2"/>
      </rPr>
      <t>5</t>
    </r>
  </si>
  <si>
    <t>According to a memorandum from John S. Seitz of the EPA, 500 hours of operation is an appropriate default assumption for estimating the number of hours an emergency generator could be expected to operate per year.</t>
  </si>
  <si>
    <r>
      <t xml:space="preserve">Estimated Actual Operation </t>
    </r>
    <r>
      <rPr>
        <b/>
        <vertAlign val="superscript"/>
        <sz val="10"/>
        <color theme="1"/>
        <rFont val="Arial"/>
        <family val="2"/>
      </rPr>
      <t>3</t>
    </r>
  </si>
  <si>
    <t>Tier 3, 40 CFR 1039, App I</t>
  </si>
  <si>
    <t>EU IDs 24, 25, and 27 are limited to 3,000 hours per year per unit per Condition 12.</t>
  </si>
  <si>
    <t>Estimated actual operation based on calendar year 2021 actual hours of operation or Mscf/day.</t>
  </si>
  <si>
    <r>
      <t xml:space="preserve">2013 Source Test </t>
    </r>
    <r>
      <rPr>
        <vertAlign val="superscript"/>
        <sz val="10"/>
        <color theme="1"/>
        <rFont val="Arial"/>
        <family val="2"/>
      </rPr>
      <t>7</t>
    </r>
  </si>
  <si>
    <t>Conversions:</t>
  </si>
  <si>
    <t>lb/hp-hr</t>
  </si>
  <si>
    <r>
      <t xml:space="preserve">hr/yr </t>
    </r>
    <r>
      <rPr>
        <vertAlign val="superscript"/>
        <sz val="10"/>
        <color theme="1"/>
        <rFont val="Arial"/>
        <family val="2"/>
      </rPr>
      <t>4</t>
    </r>
  </si>
  <si>
    <t>EU ID 26a is a Tier 3 engine as listed in 40 CFR 1039, Appendix I.  The not-to-exceed factor in 40 CFR 60.4212(c) of 1.25 is included.</t>
  </si>
  <si>
    <t>EU ID 31 is limited to 99.4 tpy CO emissions per Condition 11.</t>
  </si>
  <si>
    <t>Propylene Oxide</t>
  </si>
  <si>
    <r>
      <t xml:space="preserve">Emission Factor </t>
    </r>
    <r>
      <rPr>
        <b/>
        <vertAlign val="superscript"/>
        <sz val="10"/>
        <color theme="1"/>
        <rFont val="Arial"/>
        <family val="2"/>
      </rPr>
      <t>1</t>
    </r>
  </si>
  <si>
    <t>Estimated Actual Operation</t>
  </si>
  <si>
    <t>Total heat consumption based on operation as noted below:</t>
  </si>
  <si>
    <r>
      <t xml:space="preserve">Estimated Actual Operation </t>
    </r>
    <r>
      <rPr>
        <b/>
        <vertAlign val="superscript"/>
        <sz val="10"/>
        <color theme="1"/>
        <rFont val="Arial"/>
        <family val="2"/>
      </rPr>
      <t>2</t>
    </r>
  </si>
  <si>
    <t>Cobalt Compounds</t>
  </si>
  <si>
    <t>Dichlorobenzene</t>
  </si>
  <si>
    <t>Reference: AP-42, Tables 3.4-3 and 3.4-4</t>
  </si>
  <si>
    <t>685 hp</t>
  </si>
  <si>
    <t>500 hr/yr</t>
  </si>
  <si>
    <t>8,760 hr/yr</t>
  </si>
  <si>
    <t>1 hr/yr</t>
  </si>
  <si>
    <t>1,1,1-Trichloroethane</t>
  </si>
  <si>
    <t>Arsenic Compounds</t>
  </si>
  <si>
    <t>Space Heaters
(each less than 1.7 MMBtu/hr)</t>
  </si>
  <si>
    <r>
      <t xml:space="preserve">2020 Source Test </t>
    </r>
    <r>
      <rPr>
        <vertAlign val="superscript"/>
        <sz val="10"/>
        <color theme="1"/>
        <rFont val="Arial"/>
        <family val="2"/>
      </rPr>
      <t>1</t>
    </r>
  </si>
  <si>
    <r>
      <t xml:space="preserve">g/kW-hr </t>
    </r>
    <r>
      <rPr>
        <vertAlign val="superscript"/>
        <sz val="10"/>
        <color theme="1"/>
        <rFont val="Arial"/>
        <family val="2"/>
      </rPr>
      <t>2</t>
    </r>
  </si>
  <si>
    <r>
      <t xml:space="preserve">2013 Source Test </t>
    </r>
    <r>
      <rPr>
        <vertAlign val="superscript"/>
        <sz val="10"/>
        <color theme="1"/>
        <rFont val="Arial"/>
        <family val="2"/>
      </rPr>
      <t>3</t>
    </r>
  </si>
  <si>
    <r>
      <t xml:space="preserve">Vendor Data </t>
    </r>
    <r>
      <rPr>
        <vertAlign val="superscript"/>
        <sz val="10"/>
        <color theme="1"/>
        <rFont val="Arial"/>
        <family val="2"/>
      </rPr>
      <t>3</t>
    </r>
  </si>
  <si>
    <t>Limited Potential Operation</t>
  </si>
  <si>
    <t>Unlimited Potential Operation</t>
  </si>
  <si>
    <r>
      <t xml:space="preserve">tpy </t>
    </r>
    <r>
      <rPr>
        <vertAlign val="superscript"/>
        <sz val="10"/>
        <color theme="1"/>
        <rFont val="Arial"/>
        <family val="2"/>
      </rPr>
      <t>4</t>
    </r>
  </si>
  <si>
    <t>Volumetric Flow Rate:</t>
  </si>
  <si>
    <r>
      <t xml:space="preserve">g/kW-hr </t>
    </r>
    <r>
      <rPr>
        <vertAlign val="superscript"/>
        <sz val="10"/>
        <color theme="1"/>
        <rFont val="Arial"/>
        <family val="2"/>
      </rPr>
      <t>1</t>
    </r>
  </si>
  <si>
    <t>Table D.10. Estimated Potential HAP Emissions - Gas-Fired Turbines</t>
  </si>
  <si>
    <t>Table D.11. Estimated Potential HAP Emissions - Insignificant Gas-Fired Boilers</t>
  </si>
  <si>
    <r>
      <t xml:space="preserve">Table D.12. Estimated Potential HAP Emissions - Significant Diesel-Fired RICE </t>
    </r>
    <r>
      <rPr>
        <b/>
        <u/>
        <sz val="10"/>
        <color theme="1"/>
        <rFont val="Arial"/>
        <family val="2"/>
      </rPr>
      <t>&lt;</t>
    </r>
    <r>
      <rPr>
        <b/>
        <sz val="10"/>
        <color theme="1"/>
        <rFont val="Arial"/>
        <family val="2"/>
      </rPr>
      <t xml:space="preserve"> 600 hp</t>
    </r>
  </si>
  <si>
    <t>Table D.13. Estimated Potential HAP Emissions - Significant Diesel-Fired RICE &gt; 600 hp</t>
  </si>
  <si>
    <t>Table D.14. Estimated Potential HAP Emissions - Flares</t>
  </si>
  <si>
    <t>Table D.15. Estimated Potential HAP Emissions - Insignificant Diesel-Fired Heaters</t>
  </si>
  <si>
    <t>--</t>
  </si>
  <si>
    <t>Potential Emissions</t>
  </si>
  <si>
    <t>Emissions Unit Name</t>
  </si>
  <si>
    <t>Significant Emissions Units</t>
  </si>
  <si>
    <t>Insignificant Emissions Units</t>
  </si>
  <si>
    <t>Table D.2b. Significant Emissions Unit HAPs Summary - Unlimited Potential Emissions</t>
  </si>
  <si>
    <t>Table D.2d. Insigificant Emissions Unit HAPs Summary</t>
  </si>
  <si>
    <t>Table D.3a. Significant Emissions Unit Inventory</t>
  </si>
  <si>
    <t>Emissions Unit Description</t>
  </si>
  <si>
    <t>Table D.3b. Insignificant Emissions Unit Inventory</t>
  </si>
  <si>
    <t>Table D.5a. Significant Emissions Unit Inventory - CO Emissions</t>
  </si>
  <si>
    <t>Table D.5b. Insignificant Emissions Unit Inventory - CO Emissions</t>
  </si>
  <si>
    <t>Table D.6a. Significant Emissions Unit Inventory - PM-10 Emissions</t>
  </si>
  <si>
    <t>Table D.6b. Insignificant Emissions Unit Inventory - PM-10 Emissions</t>
  </si>
  <si>
    <t>Table D.7a. Significant Emissions Unit Inventory - VOC Emissions</t>
  </si>
  <si>
    <t>Table D.7b. Insignificant Emissions Unit Inventory - VOC Emissions</t>
  </si>
  <si>
    <r>
      <t>Table D.4a. Significant Emissions Unit Inventory - NO</t>
    </r>
    <r>
      <rPr>
        <b/>
        <vertAlign val="subscript"/>
        <sz val="10"/>
        <color theme="1"/>
        <rFont val="Arial"/>
        <family val="2"/>
      </rPr>
      <t>X</t>
    </r>
    <r>
      <rPr>
        <b/>
        <sz val="10"/>
        <color theme="1"/>
        <rFont val="Arial"/>
        <family val="2"/>
      </rPr>
      <t xml:space="preserve"> Emissions</t>
    </r>
  </si>
  <si>
    <r>
      <t>Table D.4b. Insignificant Emissions Unit Inventory - NO</t>
    </r>
    <r>
      <rPr>
        <b/>
        <vertAlign val="subscript"/>
        <sz val="10"/>
        <color theme="1"/>
        <rFont val="Arial"/>
        <family val="2"/>
      </rPr>
      <t>X</t>
    </r>
    <r>
      <rPr>
        <b/>
        <sz val="10"/>
        <color theme="1"/>
        <rFont val="Arial"/>
        <family val="2"/>
      </rPr>
      <t xml:space="preserve"> Emissions</t>
    </r>
  </si>
  <si>
    <r>
      <t>Table D.8b. Insignificant Emissions Unit Inventory - SO</t>
    </r>
    <r>
      <rPr>
        <b/>
        <vertAlign val="subscript"/>
        <sz val="10"/>
        <color theme="1"/>
        <rFont val="Arial"/>
        <family val="2"/>
      </rPr>
      <t>2</t>
    </r>
    <r>
      <rPr>
        <b/>
        <sz val="10"/>
        <color theme="1"/>
        <rFont val="Arial"/>
        <family val="2"/>
      </rPr>
      <t xml:space="preserve"> Emissions</t>
    </r>
  </si>
  <si>
    <r>
      <t>Table D.9a. Significant Emissions Unit Inventory - CO</t>
    </r>
    <r>
      <rPr>
        <b/>
        <vertAlign val="subscript"/>
        <sz val="10"/>
        <color theme="1"/>
        <rFont val="Arial"/>
        <family val="2"/>
      </rPr>
      <t>2</t>
    </r>
    <r>
      <rPr>
        <b/>
        <sz val="10"/>
        <color theme="1"/>
        <rFont val="Arial"/>
        <family val="2"/>
      </rPr>
      <t>e Emissions</t>
    </r>
  </si>
  <si>
    <r>
      <t>Table D.9b. Insignificant Emissions Unit Inventory - CO</t>
    </r>
    <r>
      <rPr>
        <b/>
        <vertAlign val="subscript"/>
        <sz val="10"/>
        <color theme="1"/>
        <rFont val="Arial"/>
        <family val="2"/>
      </rPr>
      <t>2</t>
    </r>
    <r>
      <rPr>
        <b/>
        <sz val="10"/>
        <color theme="1"/>
        <rFont val="Arial"/>
        <family val="2"/>
      </rPr>
      <t>e Emissions</t>
    </r>
  </si>
  <si>
    <t>Estimated Actual Emissions (tpy)</t>
  </si>
  <si>
    <t>Table D.2c. Significant Emissions Unit HAPs Summary - Estimated Actual Emissions</t>
  </si>
  <si>
    <t>Table D.2a. Significant Emissions Unit HAPs Summary - Limited Potential Emissions</t>
  </si>
  <si>
    <t>Limited Potential Emissions (tpy)</t>
  </si>
  <si>
    <r>
      <t xml:space="preserve">Unlimited Potential
Operation </t>
    </r>
    <r>
      <rPr>
        <b/>
        <vertAlign val="superscript"/>
        <sz val="10"/>
        <color theme="1"/>
        <rFont val="Arial"/>
        <family val="2"/>
      </rPr>
      <t>2</t>
    </r>
  </si>
  <si>
    <r>
      <t xml:space="preserve">Limited Potential Operation </t>
    </r>
    <r>
      <rPr>
        <b/>
        <vertAlign val="superscript"/>
        <sz val="10"/>
        <color theme="1"/>
        <rFont val="Arial"/>
        <family val="2"/>
      </rPr>
      <t>2</t>
    </r>
  </si>
  <si>
    <r>
      <t xml:space="preserve">Limited Potential  Operation </t>
    </r>
    <r>
      <rPr>
        <b/>
        <vertAlign val="superscript"/>
        <sz val="10"/>
        <color theme="1"/>
        <rFont val="Arial"/>
        <family val="2"/>
      </rPr>
      <t>2</t>
    </r>
  </si>
  <si>
    <t>Limited Potential  Operation</t>
  </si>
  <si>
    <t>Limited/Unlimited Potential Operation</t>
  </si>
  <si>
    <r>
      <t xml:space="preserve">Limited/Unlimited Potential Operation </t>
    </r>
    <r>
      <rPr>
        <b/>
        <vertAlign val="superscript"/>
        <sz val="10"/>
        <color theme="1"/>
        <rFont val="Arial"/>
        <family val="2"/>
      </rPr>
      <t>2</t>
    </r>
  </si>
  <si>
    <t>Allowable operation is based on full-time operation, or permit operating limits, where applicable. This value is used to calculate limited potential emissions.</t>
  </si>
  <si>
    <r>
      <t>NO</t>
    </r>
    <r>
      <rPr>
        <vertAlign val="subscript"/>
        <sz val="9"/>
        <color theme="1"/>
        <rFont val="Arial"/>
        <family val="2"/>
      </rPr>
      <t>X</t>
    </r>
    <r>
      <rPr>
        <sz val="9"/>
        <color theme="1"/>
        <rFont val="Arial"/>
        <family val="2"/>
      </rPr>
      <t xml:space="preserve"> concentration:</t>
    </r>
  </si>
  <si>
    <r>
      <t>NO</t>
    </r>
    <r>
      <rPr>
        <vertAlign val="subscript"/>
        <sz val="9"/>
        <color theme="1"/>
        <rFont val="Arial"/>
        <family val="2"/>
      </rPr>
      <t>X</t>
    </r>
    <r>
      <rPr>
        <sz val="9"/>
        <color theme="1"/>
        <rFont val="Arial"/>
        <family val="2"/>
      </rPr>
      <t xml:space="preserve"> rate:</t>
    </r>
  </si>
  <si>
    <r>
      <t>EU ID 31 is limited to 22.9 tpy NO</t>
    </r>
    <r>
      <rPr>
        <vertAlign val="subscript"/>
        <sz val="9"/>
        <color theme="1"/>
        <rFont val="Arial"/>
        <family val="2"/>
      </rPr>
      <t>X</t>
    </r>
    <r>
      <rPr>
        <sz val="9"/>
        <color theme="1"/>
        <rFont val="Arial"/>
        <family val="2"/>
      </rPr>
      <t xml:space="preserve"> emissions per Condition 10.</t>
    </r>
  </si>
  <si>
    <r>
      <t>NO</t>
    </r>
    <r>
      <rPr>
        <vertAlign val="subscript"/>
        <sz val="9"/>
        <color theme="1"/>
        <rFont val="Arial"/>
        <family val="2"/>
      </rPr>
      <t>X</t>
    </r>
    <r>
      <rPr>
        <sz val="9"/>
        <color theme="1"/>
        <rFont val="Arial"/>
        <family val="2"/>
      </rPr>
      <t xml:space="preserve"> calculations for EU IDs 1 (2020 Source Test, Run 4):</t>
    </r>
  </si>
  <si>
    <t>Cd:</t>
  </si>
  <si>
    <r>
      <t>EU ID 26a is a Tier 3 engine as listed in 40 CFR 1039, Appendix I.  The not-to-exceed factor in 40 CFR 60.4212(c) of 1.25 is included.  Assumed 95% of the NO</t>
    </r>
    <r>
      <rPr>
        <vertAlign val="subscript"/>
        <sz val="9"/>
        <color theme="1"/>
        <rFont val="Arial"/>
        <family val="2"/>
      </rPr>
      <t>X</t>
    </r>
    <r>
      <rPr>
        <sz val="9"/>
        <color theme="1"/>
        <rFont val="Arial"/>
        <family val="2"/>
      </rPr>
      <t>+HC emission factor is NO</t>
    </r>
    <r>
      <rPr>
        <vertAlign val="subscript"/>
        <sz val="9"/>
        <color theme="1"/>
        <rFont val="Arial"/>
        <family val="2"/>
      </rPr>
      <t>X</t>
    </r>
    <r>
      <rPr>
        <sz val="9"/>
        <color theme="1"/>
        <rFont val="Arial"/>
        <family val="2"/>
      </rPr>
      <t>.</t>
    </r>
  </si>
  <si>
    <t>Emission factors as listed in Minor Permit No. AQ0069MSS03, Technical Analysis Report, Appendix A.</t>
  </si>
  <si>
    <r>
      <t>EU ID 26a is a Tier 3 engine as listed in 40 CFR 1039, Appendix I.  The not-to-exceed factor in 40 CFR 60.4212(c) of 1.25 is included.  Assumed that 5% of the NO</t>
    </r>
    <r>
      <rPr>
        <vertAlign val="subscript"/>
        <sz val="9"/>
        <color theme="1"/>
        <rFont val="Arial"/>
        <family val="2"/>
      </rPr>
      <t>X</t>
    </r>
    <r>
      <rPr>
        <sz val="9"/>
        <color theme="1"/>
        <rFont val="Arial"/>
        <family val="2"/>
      </rPr>
      <t>+HC emission factor is VOC.</t>
    </r>
  </si>
  <si>
    <r>
      <t>CO</t>
    </r>
    <r>
      <rPr>
        <vertAlign val="subscript"/>
        <sz val="9"/>
        <color theme="1"/>
        <rFont val="Arial"/>
        <family val="2"/>
      </rPr>
      <t>2</t>
    </r>
  </si>
  <si>
    <r>
      <t>CH</t>
    </r>
    <r>
      <rPr>
        <vertAlign val="subscript"/>
        <sz val="9"/>
        <color theme="1"/>
        <rFont val="Arial"/>
        <family val="2"/>
      </rPr>
      <t>4</t>
    </r>
  </si>
  <si>
    <r>
      <t>N</t>
    </r>
    <r>
      <rPr>
        <vertAlign val="subscript"/>
        <sz val="9"/>
        <color theme="1"/>
        <rFont val="Arial"/>
        <family val="2"/>
      </rPr>
      <t>2</t>
    </r>
    <r>
      <rPr>
        <sz val="9"/>
        <color theme="1"/>
        <rFont val="Arial"/>
        <family val="2"/>
      </rPr>
      <t>O</t>
    </r>
  </si>
  <si>
    <r>
      <t>Limited Potential 
CO</t>
    </r>
    <r>
      <rPr>
        <b/>
        <vertAlign val="subscript"/>
        <sz val="10"/>
        <color theme="1"/>
        <rFont val="Arial"/>
        <family val="2"/>
      </rPr>
      <t>2</t>
    </r>
    <r>
      <rPr>
        <b/>
        <sz val="10"/>
        <color theme="1"/>
        <rFont val="Arial"/>
        <family val="2"/>
      </rPr>
      <t xml:space="preserve"> Emissions</t>
    </r>
  </si>
  <si>
    <r>
      <t>Limited Potential 
CH</t>
    </r>
    <r>
      <rPr>
        <b/>
        <vertAlign val="subscript"/>
        <sz val="10"/>
        <color theme="1"/>
        <rFont val="Arial"/>
        <family val="2"/>
      </rPr>
      <t>4</t>
    </r>
    <r>
      <rPr>
        <b/>
        <sz val="10"/>
        <color theme="1"/>
        <rFont val="Arial"/>
        <family val="2"/>
      </rPr>
      <t xml:space="preserve"> Emissions</t>
    </r>
  </si>
  <si>
    <r>
      <t>Limited Potential 
N</t>
    </r>
    <r>
      <rPr>
        <b/>
        <vertAlign val="subscript"/>
        <sz val="10"/>
        <color theme="1"/>
        <rFont val="Arial"/>
        <family val="2"/>
      </rPr>
      <t>2</t>
    </r>
    <r>
      <rPr>
        <b/>
        <sz val="10"/>
        <color theme="1"/>
        <rFont val="Arial"/>
        <family val="2"/>
      </rPr>
      <t>O Emissions</t>
    </r>
  </si>
  <si>
    <r>
      <t>Limited Potential 
CO</t>
    </r>
    <r>
      <rPr>
        <b/>
        <vertAlign val="subscript"/>
        <sz val="10"/>
        <color theme="1"/>
        <rFont val="Arial"/>
        <family val="2"/>
      </rPr>
      <t>2</t>
    </r>
    <r>
      <rPr>
        <b/>
        <sz val="10"/>
        <color theme="1"/>
        <rFont val="Arial"/>
        <family val="2"/>
      </rPr>
      <t>e Emissions</t>
    </r>
  </si>
  <si>
    <r>
      <t>Unlimited Potential 
CO</t>
    </r>
    <r>
      <rPr>
        <b/>
        <vertAlign val="subscript"/>
        <sz val="10"/>
        <color theme="1"/>
        <rFont val="Arial"/>
        <family val="2"/>
      </rPr>
      <t>2</t>
    </r>
    <r>
      <rPr>
        <b/>
        <sz val="10"/>
        <color theme="1"/>
        <rFont val="Arial"/>
        <family val="2"/>
      </rPr>
      <t xml:space="preserve"> Emissions</t>
    </r>
  </si>
  <si>
    <r>
      <t>Unlimited Potential 
CH</t>
    </r>
    <r>
      <rPr>
        <b/>
        <vertAlign val="subscript"/>
        <sz val="10"/>
        <color theme="1"/>
        <rFont val="Arial"/>
        <family val="2"/>
      </rPr>
      <t>4</t>
    </r>
    <r>
      <rPr>
        <b/>
        <sz val="10"/>
        <color theme="1"/>
        <rFont val="Arial"/>
        <family val="2"/>
      </rPr>
      <t xml:space="preserve"> Emissions</t>
    </r>
  </si>
  <si>
    <r>
      <t>Unlimited Potential 
N</t>
    </r>
    <r>
      <rPr>
        <b/>
        <vertAlign val="subscript"/>
        <sz val="10"/>
        <color theme="1"/>
        <rFont val="Arial"/>
        <family val="2"/>
      </rPr>
      <t>2</t>
    </r>
    <r>
      <rPr>
        <b/>
        <sz val="10"/>
        <color theme="1"/>
        <rFont val="Arial"/>
        <family val="2"/>
      </rPr>
      <t>O Emissions</t>
    </r>
  </si>
  <si>
    <r>
      <t>Unlimited Potential 
CO</t>
    </r>
    <r>
      <rPr>
        <b/>
        <vertAlign val="subscript"/>
        <sz val="10"/>
        <color theme="1"/>
        <rFont val="Arial"/>
        <family val="2"/>
      </rPr>
      <t>2</t>
    </r>
    <r>
      <rPr>
        <b/>
        <sz val="10"/>
        <color theme="1"/>
        <rFont val="Arial"/>
        <family val="2"/>
      </rPr>
      <t>e Emissions</t>
    </r>
  </si>
  <si>
    <r>
      <t>Estimated Actual 
CO</t>
    </r>
    <r>
      <rPr>
        <b/>
        <vertAlign val="subscript"/>
        <sz val="10"/>
        <color theme="1"/>
        <rFont val="Arial"/>
        <family val="2"/>
      </rPr>
      <t>2</t>
    </r>
    <r>
      <rPr>
        <b/>
        <sz val="10"/>
        <color theme="1"/>
        <rFont val="Arial"/>
        <family val="2"/>
      </rPr>
      <t xml:space="preserve"> Emissions</t>
    </r>
  </si>
  <si>
    <r>
      <t>Estimated Actual 
N</t>
    </r>
    <r>
      <rPr>
        <b/>
        <vertAlign val="subscript"/>
        <sz val="10"/>
        <color theme="1"/>
        <rFont val="Arial"/>
        <family val="2"/>
      </rPr>
      <t>2</t>
    </r>
    <r>
      <rPr>
        <b/>
        <sz val="10"/>
        <color theme="1"/>
        <rFont val="Arial"/>
        <family val="2"/>
      </rPr>
      <t>O Emissions</t>
    </r>
  </si>
  <si>
    <r>
      <t>Estimated Actual 
CO</t>
    </r>
    <r>
      <rPr>
        <b/>
        <vertAlign val="subscript"/>
        <sz val="10"/>
        <color theme="1"/>
        <rFont val="Arial"/>
        <family val="2"/>
      </rPr>
      <t>2</t>
    </r>
    <r>
      <rPr>
        <b/>
        <sz val="10"/>
        <color theme="1"/>
        <rFont val="Arial"/>
        <family val="2"/>
      </rPr>
      <t>e Emissions</t>
    </r>
  </si>
  <si>
    <r>
      <t>Estimated Actual 
CH</t>
    </r>
    <r>
      <rPr>
        <b/>
        <vertAlign val="subscript"/>
        <sz val="10"/>
        <color theme="1"/>
        <rFont val="Arial"/>
        <family val="2"/>
      </rPr>
      <t>4</t>
    </r>
    <r>
      <rPr>
        <b/>
        <sz val="10"/>
        <color theme="1"/>
        <rFont val="Arial"/>
        <family val="2"/>
      </rPr>
      <t xml:space="preserve"> Emissions</t>
    </r>
  </si>
  <si>
    <r>
      <t>Unlimited Potential CO</t>
    </r>
    <r>
      <rPr>
        <b/>
        <vertAlign val="subscript"/>
        <sz val="10"/>
        <color theme="1"/>
        <rFont val="Arial"/>
        <family val="2"/>
      </rPr>
      <t>2</t>
    </r>
    <r>
      <rPr>
        <b/>
        <sz val="10"/>
        <color theme="1"/>
        <rFont val="Arial"/>
        <family val="2"/>
      </rPr>
      <t xml:space="preserve"> Emissions</t>
    </r>
  </si>
  <si>
    <r>
      <t>Unlimited Potential CH</t>
    </r>
    <r>
      <rPr>
        <b/>
        <vertAlign val="subscript"/>
        <sz val="10"/>
        <color theme="1"/>
        <rFont val="Arial"/>
        <family val="2"/>
      </rPr>
      <t>4</t>
    </r>
    <r>
      <rPr>
        <b/>
        <sz val="10"/>
        <color theme="1"/>
        <rFont val="Arial"/>
        <family val="2"/>
      </rPr>
      <t xml:space="preserve"> Emissions</t>
    </r>
  </si>
  <si>
    <r>
      <t>Unlimited Potential N</t>
    </r>
    <r>
      <rPr>
        <b/>
        <vertAlign val="subscript"/>
        <sz val="10"/>
        <color theme="1"/>
        <rFont val="Arial"/>
        <family val="2"/>
      </rPr>
      <t>2</t>
    </r>
    <r>
      <rPr>
        <b/>
        <sz val="10"/>
        <color theme="1"/>
        <rFont val="Arial"/>
        <family val="2"/>
      </rPr>
      <t>O Emissions</t>
    </r>
  </si>
  <si>
    <r>
      <t>Unlimited Potential CO</t>
    </r>
    <r>
      <rPr>
        <b/>
        <vertAlign val="subscript"/>
        <sz val="10"/>
        <color theme="1"/>
        <rFont val="Arial"/>
        <family val="2"/>
      </rPr>
      <t>2</t>
    </r>
    <r>
      <rPr>
        <b/>
        <sz val="10"/>
        <color theme="1"/>
        <rFont val="Arial"/>
        <family val="2"/>
      </rPr>
      <t>e Emissions</t>
    </r>
  </si>
  <si>
    <t>Reference: AP-42, Table 3.1-3.</t>
  </si>
  <si>
    <t>Reference: AP-42, Tables 1.4-2, 1.4-3, and 1.4-4.</t>
  </si>
  <si>
    <r>
      <t>10</t>
    </r>
    <r>
      <rPr>
        <vertAlign val="superscript"/>
        <sz val="9"/>
        <color theme="1"/>
        <rFont val="Arial"/>
        <family val="2"/>
      </rPr>
      <t>12</t>
    </r>
    <r>
      <rPr>
        <sz val="9"/>
        <color theme="1"/>
        <rFont val="Arial"/>
        <family val="2"/>
      </rPr>
      <t xml:space="preserve"> Btu @</t>
    </r>
  </si>
  <si>
    <t>MMscf/day, each</t>
  </si>
  <si>
    <t>MMscf/yr, combined</t>
  </si>
  <si>
    <t>Mscf/yr,  combined</t>
  </si>
  <si>
    <t xml:space="preserve">Flare </t>
  </si>
  <si>
    <t>MMscf/day, emergency each</t>
  </si>
  <si>
    <t>Reference: AP-42, Tables 1.3-8, 1.3-9, and 1.3-10.</t>
  </si>
  <si>
    <t>barrels</t>
  </si>
  <si>
    <t>turnovers/yr</t>
  </si>
  <si>
    <t>lb/yr</t>
  </si>
  <si>
    <t>NA</t>
  </si>
  <si>
    <t>Ethylbenzene</t>
  </si>
  <si>
    <t>Orientation</t>
  </si>
  <si>
    <t>Horizontal</t>
  </si>
  <si>
    <t xml:space="preserve">Benzene </t>
  </si>
  <si>
    <t>Cumene</t>
  </si>
  <si>
    <t>Hexane</t>
  </si>
  <si>
    <r>
      <t>Btu/ft</t>
    </r>
    <r>
      <rPr>
        <vertAlign val="superscript"/>
        <sz val="9"/>
        <rFont val="Arial"/>
        <family val="2"/>
      </rPr>
      <t>2</t>
    </r>
    <r>
      <rPr>
        <sz val="9"/>
        <rFont val="Arial"/>
        <family val="2"/>
      </rPr>
      <t>-d</t>
    </r>
  </si>
  <si>
    <t>Diesel Fuel Tank (G-T-3090)</t>
  </si>
  <si>
    <t>Tank Information</t>
  </si>
  <si>
    <t>Diameter (ft)</t>
  </si>
  <si>
    <t>Length (ft)</t>
  </si>
  <si>
    <t>Color</t>
  </si>
  <si>
    <t>Gray (medium)</t>
  </si>
  <si>
    <t>Diesel Throughput (gal/yr)</t>
  </si>
  <si>
    <t>Paint Condition</t>
  </si>
  <si>
    <t>Average</t>
  </si>
  <si>
    <t>Emission Calculations</t>
  </si>
  <si>
    <t>Standing Loss (Ls) Calculations</t>
  </si>
  <si>
    <t>Ke</t>
  </si>
  <si>
    <t>Eq. 1-12</t>
  </si>
  <si>
    <t>Effective Height (He)</t>
  </si>
  <si>
    <t>Eq. 1-15</t>
  </si>
  <si>
    <t>Hvo (ft)</t>
  </si>
  <si>
    <t>Eq. 1-16</t>
  </si>
  <si>
    <r>
      <t>Taa (</t>
    </r>
    <r>
      <rPr>
        <vertAlign val="superscript"/>
        <sz val="10"/>
        <color theme="1"/>
        <rFont val="Arial"/>
        <family val="2"/>
      </rPr>
      <t>o</t>
    </r>
    <r>
      <rPr>
        <sz val="10"/>
        <color theme="1"/>
        <rFont val="Arial"/>
        <family val="2"/>
      </rPr>
      <t>R)</t>
    </r>
  </si>
  <si>
    <t>Eq. 1-30</t>
  </si>
  <si>
    <r>
      <t>Tb (</t>
    </r>
    <r>
      <rPr>
        <vertAlign val="superscript"/>
        <sz val="10"/>
        <color theme="1"/>
        <rFont val="Arial"/>
        <family val="2"/>
      </rPr>
      <t>o</t>
    </r>
    <r>
      <rPr>
        <sz val="10"/>
        <color theme="1"/>
        <rFont val="Arial"/>
        <family val="2"/>
      </rPr>
      <t>R)</t>
    </r>
  </si>
  <si>
    <t>Eq. 1-31</t>
  </si>
  <si>
    <r>
      <t>Tla (</t>
    </r>
    <r>
      <rPr>
        <vertAlign val="superscript"/>
        <sz val="10"/>
        <color theme="1"/>
        <rFont val="Arial"/>
        <family val="2"/>
      </rPr>
      <t>o</t>
    </r>
    <r>
      <rPr>
        <sz val="10"/>
        <color theme="1"/>
        <rFont val="Arial"/>
        <family val="2"/>
      </rPr>
      <t>R)</t>
    </r>
  </si>
  <si>
    <t>Eq. 1-28</t>
  </si>
  <si>
    <t>Pva (psia)</t>
  </si>
  <si>
    <t>Eq. 1-25</t>
  </si>
  <si>
    <t>Ks</t>
  </si>
  <si>
    <t>Eq. 1-21</t>
  </si>
  <si>
    <t>Eq. 1-33</t>
  </si>
  <si>
    <t>Eq. 1-22</t>
  </si>
  <si>
    <t>Effective Diameter (De)</t>
  </si>
  <si>
    <t>Eq. 1-14</t>
  </si>
  <si>
    <t>Eq. 1-3</t>
  </si>
  <si>
    <t>Ls (lb/yr)</t>
  </si>
  <si>
    <t>Eq. 1-2</t>
  </si>
  <si>
    <t>Working Loss (Lw) Calculations</t>
  </si>
  <si>
    <t>ΣHqi (ft/yr)</t>
  </si>
  <si>
    <t>Eq. 1-37</t>
  </si>
  <si>
    <t>Maximum Liquid Height (Hlx)</t>
  </si>
  <si>
    <t>Eq. 1-36</t>
  </si>
  <si>
    <t>Minimum Liquid Height (Hln)</t>
  </si>
  <si>
    <t>N</t>
  </si>
  <si>
    <t>Eq. 1-35</t>
  </si>
  <si>
    <r>
      <t>Vq (ft</t>
    </r>
    <r>
      <rPr>
        <vertAlign val="superscript"/>
        <sz val="10"/>
        <color theme="1"/>
        <rFont val="Arial"/>
        <family val="2"/>
      </rPr>
      <t>3</t>
    </r>
    <r>
      <rPr>
        <sz val="10"/>
        <color theme="1"/>
        <rFont val="Arial"/>
        <family val="2"/>
      </rPr>
      <t>/yr)</t>
    </r>
  </si>
  <si>
    <t>Eq. 1-39</t>
  </si>
  <si>
    <t>Lw (lb/yr)</t>
  </si>
  <si>
    <t>Total VOCs (tpy):</t>
  </si>
  <si>
    <t>HAP Emissions (tpy)</t>
  </si>
  <si>
    <t>Xylenes (isomers and mixture)</t>
  </si>
  <si>
    <t>Tax</t>
  </si>
  <si>
    <t>Tan</t>
  </si>
  <si>
    <t>α</t>
  </si>
  <si>
    <t>AP-42 Table 7.1-6 (Gray, Medium, Average)</t>
  </si>
  <si>
    <t>i</t>
  </si>
  <si>
    <t>Tank Contents</t>
  </si>
  <si>
    <t>Toluene (wt. %)</t>
  </si>
  <si>
    <t>Xylenes (isomers and mixture) (wt. %)</t>
  </si>
  <si>
    <t>Hexane (wt. %)</t>
  </si>
  <si>
    <t>Ethylbenzene (wt. %)</t>
  </si>
  <si>
    <t>Cumene (wt. %)</t>
  </si>
  <si>
    <t>Benzene  (wt. %)</t>
  </si>
  <si>
    <t>Tank Capacity (gallons)</t>
  </si>
  <si>
    <t>M (lb/lb-mol)</t>
  </si>
  <si>
    <t>A (dimensionless)</t>
  </si>
  <si>
    <t>RVP</t>
  </si>
  <si>
    <r>
      <t>K</t>
    </r>
    <r>
      <rPr>
        <vertAlign val="subscript"/>
        <sz val="10"/>
        <color theme="1"/>
        <rFont val="Arial"/>
        <family val="2"/>
      </rPr>
      <t>P</t>
    </r>
  </si>
  <si>
    <r>
      <t>K</t>
    </r>
    <r>
      <rPr>
        <vertAlign val="subscript"/>
        <sz val="10"/>
        <color theme="1"/>
        <rFont val="Arial"/>
        <family val="2"/>
      </rPr>
      <t>N</t>
    </r>
    <r>
      <rPr>
        <sz val="10"/>
        <color theme="1"/>
        <rFont val="Arial"/>
        <family val="2"/>
      </rPr>
      <t>, K</t>
    </r>
    <r>
      <rPr>
        <vertAlign val="subscript"/>
        <sz val="10"/>
        <color theme="1"/>
        <rFont val="Arial"/>
        <family val="2"/>
      </rPr>
      <t>B</t>
    </r>
  </si>
  <si>
    <r>
      <rPr>
        <vertAlign val="superscript"/>
        <sz val="9"/>
        <rFont val="Arial"/>
        <family val="2"/>
      </rPr>
      <t>o</t>
    </r>
    <r>
      <rPr>
        <sz val="9"/>
        <rFont val="Arial"/>
        <family val="2"/>
      </rPr>
      <t>F</t>
    </r>
  </si>
  <si>
    <r>
      <rPr>
        <vertAlign val="superscript"/>
        <sz val="9"/>
        <rFont val="Arial"/>
        <family val="2"/>
      </rPr>
      <t>o</t>
    </r>
    <r>
      <rPr>
        <sz val="9"/>
        <rFont val="Arial"/>
        <family val="2"/>
      </rPr>
      <t>R</t>
    </r>
  </si>
  <si>
    <r>
      <t>B (</t>
    </r>
    <r>
      <rPr>
        <sz val="9"/>
        <rFont val="Calibri"/>
        <family val="2"/>
      </rPr>
      <t>°</t>
    </r>
    <r>
      <rPr>
        <sz val="9"/>
        <rFont val="Arial"/>
        <family val="2"/>
      </rPr>
      <t>R)</t>
    </r>
  </si>
  <si>
    <t>Tanks</t>
  </si>
  <si>
    <r>
      <t xml:space="preserve">MMscf/yr, combined </t>
    </r>
    <r>
      <rPr>
        <vertAlign val="superscript"/>
        <sz val="10"/>
        <color theme="1"/>
        <rFont val="Arial"/>
        <family val="2"/>
      </rPr>
      <t>6</t>
    </r>
  </si>
  <si>
    <r>
      <t xml:space="preserve">hr/yr </t>
    </r>
    <r>
      <rPr>
        <vertAlign val="superscript"/>
        <sz val="10"/>
        <color theme="1"/>
        <rFont val="Arial"/>
        <family val="2"/>
      </rPr>
      <t>7</t>
    </r>
  </si>
  <si>
    <t>Maximum annual operation over a 10-year period, 2012 through 2021.</t>
  </si>
  <si>
    <t>MMscf/day, pilot/purge combined</t>
  </si>
  <si>
    <t>Fuel to flare estimated at 41.8 wt. % VOC with a molecular weight of 45.1 lb/mol based on gas analysis. Assumed 98% control efficiency for flare (40 CFR 98 Subpart W).</t>
  </si>
  <si>
    <t>wt.% VOC</t>
  </si>
  <si>
    <t>AP-42 Table 7.1-2</t>
  </si>
  <si>
    <r>
      <t>Tv (</t>
    </r>
    <r>
      <rPr>
        <vertAlign val="superscript"/>
        <sz val="10"/>
        <rFont val="Arial"/>
        <family val="2"/>
      </rPr>
      <t>o</t>
    </r>
    <r>
      <rPr>
        <sz val="10"/>
        <rFont val="Arial"/>
        <family val="2"/>
      </rPr>
      <t>R)</t>
    </r>
  </si>
  <si>
    <r>
      <t>Wv (lb/ft</t>
    </r>
    <r>
      <rPr>
        <vertAlign val="superscript"/>
        <sz val="10"/>
        <rFont val="Arial"/>
        <family val="2"/>
      </rPr>
      <t>3</t>
    </r>
    <r>
      <rPr>
        <sz val="10"/>
        <rFont val="Arial"/>
        <family val="2"/>
      </rPr>
      <t>)</t>
    </r>
  </si>
  <si>
    <r>
      <t>Vv (ft</t>
    </r>
    <r>
      <rPr>
        <vertAlign val="superscript"/>
        <sz val="10"/>
        <rFont val="Arial"/>
        <family val="2"/>
      </rPr>
      <t>3</t>
    </r>
    <r>
      <rPr>
        <sz val="10"/>
        <rFont val="Arial"/>
        <family val="2"/>
      </rPr>
      <t>)</t>
    </r>
  </si>
  <si>
    <t xml:space="preserve">Emissions Unit Name </t>
  </si>
  <si>
    <r>
      <t>Diesel Fuel Tank</t>
    </r>
    <r>
      <rPr>
        <vertAlign val="superscript"/>
        <sz val="10"/>
        <color theme="1"/>
        <rFont val="Arial"/>
        <family val="2"/>
      </rPr>
      <t>8</t>
    </r>
  </si>
  <si>
    <t>The insignificant emissions unit inventory (Form B) includes additional small tanks with negligible emissions; the two crude oil storage tanks are part of a closed system no with emissions.</t>
  </si>
  <si>
    <r>
      <t xml:space="preserve">Gas Composition 
(98% Efficiency) </t>
    </r>
    <r>
      <rPr>
        <vertAlign val="superscript"/>
        <sz val="10"/>
        <color theme="1"/>
        <rFont val="Arial"/>
        <family val="2"/>
      </rPr>
      <t>2</t>
    </r>
  </si>
  <si>
    <t>Table D.16. Tank VOC and HAP Calculations</t>
  </si>
  <si>
    <t>VOC Emissions (tpy)</t>
  </si>
  <si>
    <r>
      <rPr>
        <vertAlign val="superscript"/>
        <sz val="9"/>
        <rFont val="Arial"/>
        <family val="2"/>
      </rPr>
      <t>3</t>
    </r>
    <r>
      <rPr>
        <sz val="9"/>
        <rFont val="Arial"/>
        <family val="2"/>
      </rPr>
      <t xml:space="preserve">   Meteorological Inputs (Kenai, AK):</t>
    </r>
  </si>
  <si>
    <r>
      <rPr>
        <vertAlign val="superscript"/>
        <sz val="9"/>
        <rFont val="Arial"/>
        <family val="2"/>
      </rPr>
      <t>1</t>
    </r>
    <r>
      <rPr>
        <sz val="9"/>
        <rFont val="Arial"/>
        <family val="2"/>
      </rPr>
      <t xml:space="preserve">    Reference: AP-42 Section 7.1</t>
    </r>
  </si>
  <si>
    <r>
      <rPr>
        <vertAlign val="superscript"/>
        <sz val="9"/>
        <rFont val="Arial"/>
        <family val="2"/>
      </rPr>
      <t>2</t>
    </r>
    <r>
      <rPr>
        <sz val="9"/>
        <rFont val="Arial"/>
        <family val="2"/>
      </rPr>
      <t xml:space="preserve">    EPA SPECIATE online profile:</t>
    </r>
  </si>
  <si>
    <r>
      <rPr>
        <vertAlign val="superscript"/>
        <sz val="9"/>
        <rFont val="Arial"/>
        <family val="2"/>
      </rPr>
      <t>4</t>
    </r>
    <r>
      <rPr>
        <sz val="9"/>
        <rFont val="Arial"/>
        <family val="2"/>
      </rPr>
      <t xml:space="preserve">    Constants:</t>
    </r>
  </si>
  <si>
    <r>
      <rPr>
        <vertAlign val="superscript"/>
        <sz val="9"/>
        <rFont val="Arial"/>
        <family val="2"/>
      </rPr>
      <t xml:space="preserve">5    </t>
    </r>
    <r>
      <rPr>
        <sz val="9"/>
        <rFont val="Arial"/>
        <family val="2"/>
      </rPr>
      <t>Tank dimensions estimated.</t>
    </r>
  </si>
  <si>
    <t>See Table D.16</t>
  </si>
  <si>
    <t>EU ID 31 operation out of SoLoNOx mode limited to 380 hours per year per Condition 10.1.</t>
  </si>
  <si>
    <r>
      <t>SO</t>
    </r>
    <r>
      <rPr>
        <b/>
        <vertAlign val="subscript"/>
        <sz val="10"/>
        <color rgb="FFFF0000"/>
        <rFont val="Arial"/>
        <family val="2"/>
      </rPr>
      <t>2</t>
    </r>
  </si>
  <si>
    <r>
      <t>ppmv H</t>
    </r>
    <r>
      <rPr>
        <vertAlign val="subscript"/>
        <sz val="10"/>
        <color rgb="FFFF0000"/>
        <rFont val="Arial"/>
        <family val="2"/>
      </rPr>
      <t>2</t>
    </r>
    <r>
      <rPr>
        <sz val="10"/>
        <color rgb="FFFF0000"/>
        <rFont val="Arial"/>
        <family val="2"/>
      </rPr>
      <t>S</t>
    </r>
  </si>
  <si>
    <r>
      <t xml:space="preserve">Table D.1a. Emissions Unit Inventory Summary - Limited Potential Emissions
</t>
    </r>
    <r>
      <rPr>
        <b/>
        <sz val="10"/>
        <color rgb="FFFF0000"/>
        <rFont val="Arial"/>
        <family val="2"/>
      </rPr>
      <t>(Updated to Reflect Changes Resulting from the Grayling Platform Fuel Gas H</t>
    </r>
    <r>
      <rPr>
        <b/>
        <vertAlign val="subscript"/>
        <sz val="10"/>
        <color rgb="FFFF0000"/>
        <rFont val="Arial"/>
        <family val="2"/>
      </rPr>
      <t>2</t>
    </r>
    <r>
      <rPr>
        <b/>
        <sz val="10"/>
        <color rgb="FFFF0000"/>
        <rFont val="Arial"/>
        <family val="2"/>
      </rPr>
      <t>S Increase Project)</t>
    </r>
  </si>
  <si>
    <r>
      <t>Table D.8a. Significant Emissions Unit Inventory - SO</t>
    </r>
    <r>
      <rPr>
        <b/>
        <vertAlign val="subscript"/>
        <sz val="10"/>
        <color theme="1"/>
        <rFont val="Arial"/>
        <family val="2"/>
      </rPr>
      <t>2</t>
    </r>
    <r>
      <rPr>
        <b/>
        <sz val="10"/>
        <color theme="1"/>
        <rFont val="Arial"/>
        <family val="2"/>
      </rPr>
      <t xml:space="preserve"> Emissions
</t>
    </r>
    <r>
      <rPr>
        <b/>
        <sz val="10"/>
        <color rgb="FFFF0000"/>
        <rFont val="Arial"/>
        <family val="2"/>
      </rPr>
      <t>(Updated to Reflect Changes Resulting from the Grayling Platform Fuel Gas H</t>
    </r>
    <r>
      <rPr>
        <b/>
        <vertAlign val="subscript"/>
        <sz val="10"/>
        <color rgb="FFFF0000"/>
        <rFont val="Arial"/>
        <family val="2"/>
      </rPr>
      <t>2</t>
    </r>
    <r>
      <rPr>
        <b/>
        <sz val="10"/>
        <color rgb="FFFF0000"/>
        <rFont val="Arial"/>
        <family val="2"/>
      </rPr>
      <t>S Increase Project)</t>
    </r>
  </si>
  <si>
    <r>
      <t xml:space="preserve">Table D.1b. Emissions Unit Inventory Summary - Unlimited Potential Emissions
</t>
    </r>
    <r>
      <rPr>
        <b/>
        <sz val="10"/>
        <color rgb="FFFF0000"/>
        <rFont val="Arial"/>
        <family val="2"/>
      </rPr>
      <t>(Updated to Reflect Changes Resulting from the Grayling Platform Fuel Gas H</t>
    </r>
    <r>
      <rPr>
        <b/>
        <vertAlign val="subscript"/>
        <sz val="10"/>
        <color rgb="FFFF0000"/>
        <rFont val="Arial"/>
        <family val="2"/>
      </rPr>
      <t>2</t>
    </r>
    <r>
      <rPr>
        <b/>
        <sz val="10"/>
        <color rgb="FFFF0000"/>
        <rFont val="Arial"/>
        <family val="2"/>
      </rPr>
      <t>S Increase Project)</t>
    </r>
  </si>
  <si>
    <r>
      <t xml:space="preserve">Table D.1c. Emissions Unit Inventory Summary - Estimated Actual Emissions
</t>
    </r>
    <r>
      <rPr>
        <b/>
        <sz val="10"/>
        <color rgb="FFFF0000"/>
        <rFont val="Arial"/>
        <family val="2"/>
      </rPr>
      <t>(Updated to Reflect Changes Resulting from the Grayling Platform Fuel Gas H</t>
    </r>
    <r>
      <rPr>
        <b/>
        <vertAlign val="subscript"/>
        <sz val="10"/>
        <color rgb="FFFF0000"/>
        <rFont val="Arial"/>
        <family val="2"/>
      </rPr>
      <t>2</t>
    </r>
    <r>
      <rPr>
        <b/>
        <sz val="10"/>
        <color rgb="FFFF0000"/>
        <rFont val="Arial"/>
        <family val="2"/>
      </rPr>
      <t>S Increase 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</si>
</sst>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
    <numFmt numFmtId="165" formatCode="#,##0.000"/>
    <numFmt numFmtId="166" formatCode="0.000"/>
    <numFmt numFmtId="167" formatCode="0.0E+00"/>
    <numFmt numFmtId="168" formatCode="0.0"/>
    <numFmt numFmtId="169" formatCode="0.00000"/>
    <numFmt numFmtId="170" formatCode="0.000E+00"/>
    <numFmt numFmtId="171" formatCode="0.0000"/>
  </numFmts>
  <fonts count="33" x14ac:knownFonts="1">
    <font>
      <sz val="11"/>
      <color theme="1"/>
      <name val="Calibri"/>
      <family val="2"/>
      <scheme val="minor"/>
    </font>
    <font>
      <sz val="10"/>
      <color theme="1"/>
      <name val="Arial"/>
      <family val="2"/>
    </font>
    <font>
      <b/>
      <sz val="10"/>
      <color theme="1"/>
      <name val="Arial"/>
      <family val="2"/>
    </font>
    <font>
      <b/>
      <vertAlign val="subscript"/>
      <sz val="10"/>
      <color theme="1"/>
      <name val="Arial"/>
      <family val="2"/>
    </font>
    <font>
      <b/>
      <vertAlign val="superscript"/>
      <sz val="10"/>
      <color theme="1"/>
      <name val="Arial"/>
      <family val="2"/>
    </font>
    <font>
      <sz val="9"/>
      <color theme="1"/>
      <name val="Arial"/>
      <family val="2"/>
    </font>
    <font>
      <vertAlign val="superscript"/>
      <sz val="9"/>
      <color theme="1"/>
      <name val="Arial"/>
      <family val="2"/>
    </font>
    <font>
      <vertAlign val="subscript"/>
      <sz val="10"/>
      <color theme="1"/>
      <name val="Arial"/>
      <family val="2"/>
    </font>
    <font>
      <sz val="10"/>
      <name val="Arial"/>
      <family val="2"/>
    </font>
    <font>
      <b/>
      <sz val="10"/>
      <name val="Arial"/>
      <family val="2"/>
    </font>
    <font>
      <sz val="9"/>
      <name val="Arial"/>
      <family val="2"/>
    </font>
    <font>
      <sz val="8"/>
      <name val="Calibri"/>
      <family val="2"/>
      <scheme val="minor"/>
    </font>
    <font>
      <b/>
      <i/>
      <sz val="10"/>
      <color theme="1"/>
      <name val="Arial"/>
      <family val="2"/>
    </font>
    <font>
      <i/>
      <sz val="10"/>
      <color theme="1"/>
      <name val="Arial"/>
      <family val="2"/>
    </font>
    <font>
      <sz val="11"/>
      <color theme="1"/>
      <name val="Arial"/>
      <family val="2"/>
    </font>
    <font>
      <vertAlign val="subscript"/>
      <sz val="9"/>
      <color theme="1"/>
      <name val="Arial"/>
      <family val="2"/>
    </font>
    <font>
      <vertAlign val="superscript"/>
      <sz val="10"/>
      <color theme="1"/>
      <name val="Arial"/>
      <family val="2"/>
    </font>
    <font>
      <b/>
      <u/>
      <sz val="10"/>
      <color theme="1"/>
      <name val="Arial"/>
      <family val="2"/>
    </font>
    <font>
      <sz val="11"/>
      <color theme="1"/>
      <name val="Calibri"/>
      <family val="2"/>
      <scheme val="minor"/>
    </font>
    <font>
      <sz val="10"/>
      <color theme="1"/>
      <name val="Calibri"/>
      <family val="2"/>
      <scheme val="minor"/>
    </font>
    <font>
      <sz val="10"/>
      <color rgb="FFFF0000"/>
      <name val="Arial"/>
      <family val="2"/>
    </font>
    <font>
      <u/>
      <sz val="9"/>
      <color theme="1"/>
      <name val="Arial"/>
      <family val="2"/>
    </font>
    <font>
      <b/>
      <sz val="9"/>
      <name val="Arial"/>
      <family val="2"/>
    </font>
    <font>
      <u/>
      <sz val="9"/>
      <name val="Arial"/>
      <family val="2"/>
    </font>
    <font>
      <vertAlign val="superscript"/>
      <sz val="9"/>
      <name val="Arial"/>
      <family val="2"/>
    </font>
    <font>
      <b/>
      <sz val="10"/>
      <color indexed="8"/>
      <name val="Arial"/>
      <family val="2"/>
    </font>
    <font>
      <sz val="9"/>
      <name val="Calibri"/>
      <family val="2"/>
    </font>
    <font>
      <vertAlign val="superscript"/>
      <sz val="10"/>
      <name val="Arial"/>
      <family val="2"/>
    </font>
    <font>
      <b/>
      <sz val="10"/>
      <color rgb="FFFF0000"/>
      <name val="Arial"/>
      <family val="2"/>
    </font>
    <font>
      <sz val="11"/>
      <color rgb="FFFF0000"/>
      <name val="Calibri"/>
      <family val="2"/>
      <scheme val="minor"/>
    </font>
    <font>
      <b/>
      <vertAlign val="subscript"/>
      <sz val="10"/>
      <color rgb="FFFF0000"/>
      <name val="Arial"/>
      <family val="2"/>
    </font>
    <font>
      <vertAlign val="subscript"/>
      <sz val="10"/>
      <color rgb="FFFF0000"/>
      <name val="Arial"/>
      <family val="2"/>
    </font>
    <font>
      <b/>
      <i/>
      <sz val="10"/>
      <color rgb="FFFF0000"/>
      <name val="Arial"/>
      <family val="2"/>
    </font>
  </fonts>
  <fills count="5">
    <fill>
      <patternFill patternType="none"/>
    </fill>
    <fill>
      <patternFill patternType="gray125"/>
    </fill>
    <fill>
      <patternFill patternType="solid">
        <fgColor theme="0" tint="-4.9989318521683403E-2"/>
        <bgColor theme="2"/>
      </patternFill>
    </fill>
    <fill>
      <patternFill patternType="solid">
        <fgColor theme="0" tint="-4.9989318521683403E-2"/>
        <bgColor indexed="64"/>
      </patternFill>
    </fill>
    <fill>
      <patternFill patternType="solid">
        <fgColor theme="0" tint="-0.14999847407452621"/>
        <bgColor indexed="64"/>
      </patternFill>
    </fill>
  </fills>
  <borders count="93">
    <border>
      <left/>
      <right/>
      <top/>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double">
        <color indexed="64"/>
      </bottom>
      <diagonal/>
    </border>
    <border>
      <left/>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double">
        <color indexed="64"/>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top/>
      <bottom style="thin">
        <color indexed="64"/>
      </bottom>
      <diagonal/>
    </border>
    <border>
      <left style="thin">
        <color indexed="64"/>
      </left>
      <right/>
      <top style="double">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bottom/>
      <diagonal/>
    </border>
    <border>
      <left/>
      <right style="thin">
        <color indexed="64"/>
      </right>
      <top style="double">
        <color indexed="64"/>
      </top>
      <bottom/>
      <diagonal/>
    </border>
    <border>
      <left/>
      <right style="thin">
        <color indexed="64"/>
      </right>
      <top/>
      <bottom/>
      <diagonal/>
    </border>
    <border>
      <left style="thin">
        <color indexed="64"/>
      </left>
      <right style="thin">
        <color indexed="64"/>
      </right>
      <top/>
      <bottom/>
      <diagonal/>
    </border>
  </borders>
  <cellStyleXfs count="8">
    <xf numFmtId="0" fontId="0" fillId="0" borderId="0"/>
    <xf numFmtId="43" fontId="8" fillId="0" borderId="0" applyFont="0" applyFill="0" applyBorder="0" applyAlignment="0" applyProtection="0"/>
    <xf numFmtId="0" fontId="8" fillId="0" borderId="0"/>
    <xf numFmtId="0" fontId="8" fillId="0" borderId="0"/>
    <xf numFmtId="43" fontId="18" fillId="0" borderId="0" applyFont="0" applyFill="0" applyBorder="0" applyAlignment="0" applyProtection="0"/>
    <xf numFmtId="0" fontId="8" fillId="0" borderId="0"/>
    <xf numFmtId="0" fontId="8" fillId="0" borderId="0"/>
    <xf numFmtId="0" fontId="18" fillId="0" borderId="0"/>
  </cellStyleXfs>
  <cellXfs count="653">
    <xf numFmtId="0" fontId="0" fillId="0" borderId="0" xfId="0"/>
    <xf numFmtId="0" fontId="1" fillId="0" borderId="0" xfId="0" applyFont="1"/>
    <xf numFmtId="0" fontId="1" fillId="0" borderId="0" xfId="0" applyFont="1" applyAlignment="1">
      <alignment horizontal="center"/>
    </xf>
    <xf numFmtId="0" fontId="1" fillId="0" borderId="5" xfId="0" applyFont="1" applyBorder="1"/>
    <xf numFmtId="0" fontId="1" fillId="0" borderId="7" xfId="0" applyFont="1" applyBorder="1"/>
    <xf numFmtId="0" fontId="1" fillId="0" borderId="8" xfId="0" applyFont="1" applyBorder="1" applyAlignment="1">
      <alignment horizontal="center"/>
    </xf>
    <xf numFmtId="0" fontId="1" fillId="0" borderId="10" xfId="0" applyFont="1" applyBorder="1" applyAlignment="1">
      <alignment horizontal="center"/>
    </xf>
    <xf numFmtId="0" fontId="1" fillId="0" borderId="9" xfId="0" applyFont="1" applyBorder="1" applyAlignment="1">
      <alignment horizontal="left"/>
    </xf>
    <xf numFmtId="3" fontId="1" fillId="0" borderId="11" xfId="0" applyNumberFormat="1" applyFont="1" applyBorder="1" applyAlignment="1">
      <alignment vertical="center"/>
    </xf>
    <xf numFmtId="0" fontId="1" fillId="0" borderId="9" xfId="0" applyFont="1" applyBorder="1" applyAlignment="1">
      <alignment vertical="center"/>
    </xf>
    <xf numFmtId="0" fontId="1" fillId="0" borderId="11" xfId="0" applyFont="1" applyBorder="1" applyAlignment="1">
      <alignment horizontal="center"/>
    </xf>
    <xf numFmtId="0" fontId="1" fillId="0" borderId="11" xfId="0" applyFont="1" applyBorder="1"/>
    <xf numFmtId="0" fontId="1" fillId="0" borderId="9" xfId="0" applyFont="1" applyBorder="1"/>
    <xf numFmtId="3" fontId="1" fillId="0" borderId="11" xfId="0" applyNumberFormat="1" applyFont="1" applyBorder="1"/>
    <xf numFmtId="0" fontId="1" fillId="0" borderId="5" xfId="0" applyFont="1" applyBorder="1" applyAlignment="1">
      <alignment vertical="center"/>
    </xf>
    <xf numFmtId="0" fontId="1" fillId="0" borderId="12" xfId="0" applyFont="1" applyBorder="1" applyAlignment="1">
      <alignment horizontal="center"/>
    </xf>
    <xf numFmtId="0" fontId="1" fillId="0" borderId="14" xfId="0" applyFont="1" applyBorder="1" applyAlignment="1">
      <alignment horizontal="center"/>
    </xf>
    <xf numFmtId="0" fontId="1" fillId="0" borderId="13" xfId="0" applyFont="1" applyBorder="1"/>
    <xf numFmtId="3" fontId="1" fillId="0" borderId="0" xfId="0" applyNumberFormat="1" applyFont="1"/>
    <xf numFmtId="3" fontId="1" fillId="0" borderId="11" xfId="0" applyNumberFormat="1" applyFont="1" applyBorder="1" applyAlignment="1">
      <alignment horizontal="right"/>
    </xf>
    <xf numFmtId="3" fontId="1" fillId="0" borderId="15" xfId="0" applyNumberFormat="1" applyFont="1" applyBorder="1" applyAlignment="1">
      <alignment horizontal="right"/>
    </xf>
    <xf numFmtId="0" fontId="1" fillId="0" borderId="13" xfId="0" applyFont="1" applyBorder="1" applyAlignment="1">
      <alignment horizontal="left"/>
    </xf>
    <xf numFmtId="3" fontId="1" fillId="0" borderId="0" xfId="0" applyNumberFormat="1" applyFont="1" applyAlignment="1">
      <alignment horizontal="right"/>
    </xf>
    <xf numFmtId="0" fontId="1" fillId="0" borderId="0" xfId="0" applyFont="1" applyAlignment="1">
      <alignment horizontal="left"/>
    </xf>
    <xf numFmtId="0" fontId="1" fillId="0" borderId="18" xfId="0" applyFont="1" applyBorder="1" applyAlignment="1">
      <alignment horizontal="left"/>
    </xf>
    <xf numFmtId="0" fontId="1" fillId="0" borderId="19" xfId="0" applyFont="1" applyBorder="1" applyAlignment="1">
      <alignment horizontal="left"/>
    </xf>
    <xf numFmtId="0" fontId="1" fillId="0" borderId="18" xfId="0" applyFont="1" applyBorder="1" applyAlignment="1">
      <alignment vertical="center"/>
    </xf>
    <xf numFmtId="0" fontId="1" fillId="0" borderId="20" xfId="0" applyFont="1" applyBorder="1" applyAlignment="1">
      <alignment vertical="center"/>
    </xf>
    <xf numFmtId="0" fontId="1" fillId="0" borderId="22" xfId="0" applyFont="1" applyBorder="1" applyAlignment="1">
      <alignment vertical="center"/>
    </xf>
    <xf numFmtId="0" fontId="1" fillId="0" borderId="23" xfId="0" applyFont="1" applyBorder="1" applyAlignment="1">
      <alignment vertical="center"/>
    </xf>
    <xf numFmtId="0" fontId="2" fillId="2" borderId="1" xfId="0" applyFont="1" applyFill="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xf>
    <xf numFmtId="0" fontId="2" fillId="0" borderId="0" xfId="0" applyFont="1"/>
    <xf numFmtId="0" fontId="5" fillId="0" borderId="0" xfId="0" applyFont="1" applyAlignment="1">
      <alignment horizontal="left"/>
    </xf>
    <xf numFmtId="0" fontId="5" fillId="0" borderId="0" xfId="0" applyFont="1"/>
    <xf numFmtId="0" fontId="2" fillId="0" borderId="21" xfId="0" applyFont="1" applyBorder="1"/>
    <xf numFmtId="0" fontId="1" fillId="0" borderId="11" xfId="0" applyFont="1" applyBorder="1" applyAlignment="1">
      <alignment vertical="center"/>
    </xf>
    <xf numFmtId="0" fontId="2" fillId="0" borderId="0" xfId="0" applyFont="1" applyAlignment="1">
      <alignment vertical="center"/>
    </xf>
    <xf numFmtId="0" fontId="9" fillId="0" borderId="0" xfId="0" applyFont="1"/>
    <xf numFmtId="0" fontId="8" fillId="0" borderId="0" xfId="0" applyFont="1" applyAlignment="1">
      <alignment horizontal="right"/>
    </xf>
    <xf numFmtId="168" fontId="1" fillId="0" borderId="0" xfId="0" applyNumberFormat="1" applyFont="1"/>
    <xf numFmtId="0" fontId="8" fillId="0" borderId="0" xfId="0" applyFont="1"/>
    <xf numFmtId="0" fontId="1" fillId="0" borderId="0" xfId="0" applyFont="1" applyAlignment="1">
      <alignment horizontal="right"/>
    </xf>
    <xf numFmtId="0" fontId="8" fillId="0" borderId="0" xfId="0" applyFont="1" applyAlignment="1">
      <alignment horizontal="left"/>
    </xf>
    <xf numFmtId="0" fontId="9" fillId="0" borderId="0" xfId="0" applyFont="1" applyAlignment="1">
      <alignment horizontal="right"/>
    </xf>
    <xf numFmtId="2" fontId="9" fillId="0" borderId="0" xfId="0" applyNumberFormat="1" applyFont="1" applyAlignment="1">
      <alignment horizontal="right"/>
    </xf>
    <xf numFmtId="169" fontId="9" fillId="0" borderId="0" xfId="0" applyNumberFormat="1" applyFont="1" applyAlignment="1">
      <alignment horizontal="left"/>
    </xf>
    <xf numFmtId="0" fontId="9" fillId="0" borderId="0" xfId="0" applyFont="1" applyAlignment="1">
      <alignment horizontal="left"/>
    </xf>
    <xf numFmtId="11" fontId="9" fillId="0" borderId="0" xfId="0" applyNumberFormat="1" applyFont="1"/>
    <xf numFmtId="0" fontId="1" fillId="0" borderId="23" xfId="0" applyFont="1" applyBorder="1" applyAlignment="1">
      <alignment horizontal="center"/>
    </xf>
    <xf numFmtId="167" fontId="1" fillId="0" borderId="0" xfId="0" applyNumberFormat="1" applyFont="1"/>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left" vertical="center"/>
    </xf>
    <xf numFmtId="0" fontId="5" fillId="0" borderId="0" xfId="0" applyFont="1" applyAlignment="1">
      <alignment horizontal="center"/>
    </xf>
    <xf numFmtId="0" fontId="5" fillId="0" borderId="0" xfId="0" applyFont="1" applyAlignment="1">
      <alignment horizontal="right"/>
    </xf>
    <xf numFmtId="0" fontId="1" fillId="0" borderId="10" xfId="0" applyFont="1" applyBorder="1" applyAlignment="1">
      <alignment horizontal="left"/>
    </xf>
    <xf numFmtId="0" fontId="8" fillId="0" borderId="10" xfId="0" applyFont="1" applyBorder="1" applyAlignment="1">
      <alignment horizontal="left"/>
    </xf>
    <xf numFmtId="11" fontId="1" fillId="0" borderId="11" xfId="0" applyNumberFormat="1" applyFont="1" applyBorder="1"/>
    <xf numFmtId="0" fontId="8" fillId="0" borderId="8" xfId="3" applyBorder="1" applyAlignment="1">
      <alignment horizontal="center"/>
    </xf>
    <xf numFmtId="0" fontId="1" fillId="0" borderId="18" xfId="0" applyFont="1" applyBorder="1"/>
    <xf numFmtId="0" fontId="8" fillId="0" borderId="12" xfId="3" applyBorder="1" applyAlignment="1">
      <alignment horizontal="center"/>
    </xf>
    <xf numFmtId="0" fontId="8" fillId="0" borderId="14" xfId="0" applyFont="1" applyBorder="1" applyAlignment="1">
      <alignment horizontal="left"/>
    </xf>
    <xf numFmtId="4" fontId="5" fillId="0" borderId="0" xfId="0" applyNumberFormat="1" applyFont="1" applyAlignment="1">
      <alignment horizontal="right"/>
    </xf>
    <xf numFmtId="4" fontId="5" fillId="0" borderId="0" xfId="0" applyNumberFormat="1" applyFont="1" applyAlignment="1">
      <alignment horizontal="left"/>
    </xf>
    <xf numFmtId="168" fontId="10" fillId="0" borderId="0" xfId="0" applyNumberFormat="1" applyFont="1" applyAlignment="1">
      <alignment horizontal="right"/>
    </xf>
    <xf numFmtId="0" fontId="8" fillId="0" borderId="43" xfId="3" applyBorder="1" applyAlignment="1">
      <alignment horizontal="center"/>
    </xf>
    <xf numFmtId="0" fontId="1" fillId="0" borderId="6" xfId="0" applyFont="1" applyBorder="1" applyAlignment="1">
      <alignment horizontal="left"/>
    </xf>
    <xf numFmtId="0" fontId="1" fillId="0" borderId="41" xfId="0" applyFont="1" applyBorder="1"/>
    <xf numFmtId="0" fontId="2" fillId="0" borderId="0" xfId="0" applyFont="1" applyAlignment="1">
      <alignment horizontal="right"/>
    </xf>
    <xf numFmtId="11" fontId="1" fillId="0" borderId="59" xfId="0" applyNumberFormat="1" applyFont="1" applyBorder="1" applyAlignment="1">
      <alignment horizontal="center"/>
    </xf>
    <xf numFmtId="11" fontId="1" fillId="0" borderId="6" xfId="0" quotePrefix="1" applyNumberFormat="1" applyFont="1" applyBorder="1" applyAlignment="1">
      <alignment horizontal="center"/>
    </xf>
    <xf numFmtId="0" fontId="1" fillId="0" borderId="10" xfId="0" applyFont="1" applyBorder="1" applyAlignment="1">
      <alignment horizontal="center" vertical="center" wrapText="1"/>
    </xf>
    <xf numFmtId="0" fontId="1" fillId="0" borderId="43" xfId="0" applyFont="1" applyBorder="1" applyAlignment="1">
      <alignment horizontal="center"/>
    </xf>
    <xf numFmtId="0" fontId="1" fillId="0" borderId="15" xfId="0" applyFont="1" applyBorder="1"/>
    <xf numFmtId="0" fontId="1" fillId="0" borderId="19" xfId="0" applyFont="1" applyBorder="1"/>
    <xf numFmtId="0" fontId="1" fillId="0" borderId="28" xfId="0" applyFont="1" applyBorder="1" applyAlignment="1">
      <alignment horizontal="center"/>
    </xf>
    <xf numFmtId="0" fontId="1" fillId="0" borderId="30" xfId="0" applyFont="1" applyBorder="1" applyAlignment="1">
      <alignment vertical="center"/>
    </xf>
    <xf numFmtId="0" fontId="1" fillId="0" borderId="34" xfId="0" applyFont="1" applyBorder="1" applyAlignment="1">
      <alignment vertical="center"/>
    </xf>
    <xf numFmtId="3" fontId="1" fillId="0" borderId="31" xfId="0" applyNumberFormat="1" applyFont="1" applyBorder="1" applyAlignment="1">
      <alignment vertical="center"/>
    </xf>
    <xf numFmtId="3" fontId="1" fillId="0" borderId="15" xfId="0" applyNumberFormat="1" applyFont="1" applyBorder="1" applyAlignment="1">
      <alignment vertical="center"/>
    </xf>
    <xf numFmtId="0" fontId="1" fillId="0" borderId="25" xfId="0" applyFont="1" applyBorder="1" applyAlignment="1">
      <alignment vertical="center"/>
    </xf>
    <xf numFmtId="0" fontId="1" fillId="0" borderId="19" xfId="0" applyFont="1" applyBorder="1" applyAlignment="1">
      <alignment vertical="center"/>
    </xf>
    <xf numFmtId="3" fontId="5" fillId="0" borderId="0" xfId="0" applyNumberFormat="1" applyFont="1" applyAlignment="1">
      <alignment horizontal="right"/>
    </xf>
    <xf numFmtId="0" fontId="14" fillId="0" borderId="0" xfId="0" applyFont="1"/>
    <xf numFmtId="11" fontId="5" fillId="0" borderId="0" xfId="0" applyNumberFormat="1" applyFont="1"/>
    <xf numFmtId="168" fontId="1" fillId="0" borderId="7" xfId="0" applyNumberFormat="1" applyFont="1" applyBorder="1"/>
    <xf numFmtId="0" fontId="1" fillId="0" borderId="13" xfId="0" applyFont="1" applyBorder="1" applyAlignment="1">
      <alignment horizontal="left" vertical="center"/>
    </xf>
    <xf numFmtId="168" fontId="1" fillId="0" borderId="11" xfId="0" applyNumberFormat="1" applyFont="1" applyBorder="1"/>
    <xf numFmtId="0" fontId="2" fillId="2" borderId="3" xfId="0" applyFont="1" applyFill="1" applyBorder="1" applyAlignment="1">
      <alignment horizontal="center" vertical="center"/>
    </xf>
    <xf numFmtId="0" fontId="1" fillId="0" borderId="13" xfId="0" applyFont="1" applyBorder="1" applyAlignment="1">
      <alignment vertical="center"/>
    </xf>
    <xf numFmtId="0" fontId="1" fillId="0" borderId="22" xfId="0" applyFont="1" applyBorder="1" applyAlignment="1">
      <alignment horizontal="left"/>
    </xf>
    <xf numFmtId="0" fontId="1" fillId="0" borderId="22" xfId="0" applyFont="1" applyBorder="1"/>
    <xf numFmtId="3" fontId="1" fillId="0" borderId="22" xfId="0" applyNumberFormat="1" applyFont="1" applyBorder="1" applyAlignment="1">
      <alignment vertical="center"/>
    </xf>
    <xf numFmtId="3" fontId="1" fillId="0" borderId="42" xfId="0" applyNumberFormat="1" applyFont="1" applyBorder="1" applyAlignment="1">
      <alignment vertical="center"/>
    </xf>
    <xf numFmtId="3" fontId="1" fillId="0" borderId="65" xfId="0" applyNumberFormat="1" applyFont="1" applyBorder="1" applyAlignment="1">
      <alignment vertical="center"/>
    </xf>
    <xf numFmtId="0" fontId="1" fillId="0" borderId="19" xfId="0" applyFont="1" applyBorder="1" applyAlignment="1">
      <alignment horizontal="left" vertical="center"/>
    </xf>
    <xf numFmtId="0" fontId="1" fillId="0" borderId="41" xfId="0" applyFont="1" applyBorder="1" applyAlignment="1">
      <alignment vertical="center"/>
    </xf>
    <xf numFmtId="11" fontId="1" fillId="0" borderId="22" xfId="0" applyNumberFormat="1" applyFont="1" applyBorder="1" applyAlignment="1">
      <alignment vertical="center"/>
    </xf>
    <xf numFmtId="11" fontId="1" fillId="0" borderId="15" xfId="0" applyNumberFormat="1" applyFont="1" applyBorder="1" applyAlignment="1">
      <alignment vertical="center"/>
    </xf>
    <xf numFmtId="2" fontId="2" fillId="0" borderId="24" xfId="0" applyNumberFormat="1" applyFont="1" applyBorder="1" applyAlignment="1">
      <alignment vertical="center"/>
    </xf>
    <xf numFmtId="0" fontId="2" fillId="0" borderId="21" xfId="0" applyFont="1" applyBorder="1" applyAlignment="1">
      <alignment vertical="center"/>
    </xf>
    <xf numFmtId="3" fontId="1" fillId="0" borderId="40" xfId="0" applyNumberFormat="1" applyFont="1" applyBorder="1" applyAlignment="1">
      <alignment vertical="center"/>
    </xf>
    <xf numFmtId="0" fontId="2" fillId="2" borderId="1" xfId="0" applyFont="1" applyFill="1" applyBorder="1" applyAlignment="1">
      <alignment horizontal="center" vertical="center" wrapText="1"/>
    </xf>
    <xf numFmtId="11" fontId="1" fillId="0" borderId="11" xfId="0" applyNumberFormat="1" applyFont="1" applyBorder="1" applyAlignment="1">
      <alignment vertical="center"/>
    </xf>
    <xf numFmtId="3" fontId="2" fillId="0" borderId="32" xfId="0" applyNumberFormat="1" applyFont="1" applyBorder="1" applyAlignment="1">
      <alignment vertical="center"/>
    </xf>
    <xf numFmtId="0" fontId="2" fillId="0" borderId="17" xfId="0" applyFont="1" applyBorder="1" applyAlignment="1">
      <alignment vertical="center"/>
    </xf>
    <xf numFmtId="0" fontId="2" fillId="0" borderId="24" xfId="0" applyFont="1" applyBorder="1" applyAlignment="1">
      <alignment vertical="center"/>
    </xf>
    <xf numFmtId="3" fontId="2" fillId="0" borderId="16" xfId="0" applyNumberFormat="1" applyFont="1" applyBorder="1" applyAlignment="1">
      <alignment vertical="center"/>
    </xf>
    <xf numFmtId="0" fontId="1" fillId="0" borderId="18" xfId="0" applyFont="1" applyBorder="1" applyAlignment="1">
      <alignment horizontal="left" vertical="center"/>
    </xf>
    <xf numFmtId="2" fontId="1" fillId="0" borderId="40" xfId="0" applyNumberFormat="1" applyFont="1" applyBorder="1"/>
    <xf numFmtId="2" fontId="1" fillId="0" borderId="7" xfId="0" applyNumberFormat="1" applyFont="1" applyBorder="1"/>
    <xf numFmtId="0" fontId="1" fillId="0" borderId="69" xfId="0" applyFont="1" applyBorder="1" applyAlignment="1">
      <alignment horizontal="center"/>
    </xf>
    <xf numFmtId="168" fontId="1" fillId="0" borderId="22" xfId="0" applyNumberFormat="1" applyFont="1" applyBorder="1" applyAlignment="1">
      <alignment vertical="center"/>
    </xf>
    <xf numFmtId="168" fontId="2" fillId="0" borderId="32" xfId="0" applyNumberFormat="1" applyFont="1" applyBorder="1"/>
    <xf numFmtId="168" fontId="1" fillId="0" borderId="11" xfId="0" applyNumberFormat="1" applyFont="1" applyBorder="1" applyAlignment="1">
      <alignment vertical="center"/>
    </xf>
    <xf numFmtId="167" fontId="1" fillId="0" borderId="22" xfId="0" applyNumberFormat="1" applyFont="1" applyBorder="1" applyAlignment="1">
      <alignment vertical="center"/>
    </xf>
    <xf numFmtId="168" fontId="8" fillId="0" borderId="30" xfId="0" applyNumberFormat="1" applyFont="1" applyBorder="1" applyAlignment="1">
      <alignment vertical="center"/>
    </xf>
    <xf numFmtId="9" fontId="1" fillId="0" borderId="0" xfId="0" applyNumberFormat="1" applyFont="1"/>
    <xf numFmtId="0" fontId="2" fillId="3" borderId="52" xfId="0" applyFont="1" applyFill="1" applyBorder="1" applyAlignment="1">
      <alignment horizontal="center" vertical="center"/>
    </xf>
    <xf numFmtId="0" fontId="2" fillId="3" borderId="53" xfId="0" applyFont="1" applyFill="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xf numFmtId="0" fontId="1" fillId="0" borderId="14" xfId="0" applyFont="1" applyBorder="1" applyAlignment="1">
      <alignment horizontal="center" vertical="center"/>
    </xf>
    <xf numFmtId="1" fontId="1" fillId="0" borderId="11" xfId="0" applyNumberFormat="1" applyFont="1" applyBorder="1" applyAlignment="1">
      <alignment vertical="center"/>
    </xf>
    <xf numFmtId="167" fontId="1" fillId="0" borderId="11" xfId="0" applyNumberFormat="1" applyFont="1" applyBorder="1" applyAlignment="1">
      <alignment vertical="center"/>
    </xf>
    <xf numFmtId="0" fontId="5" fillId="0" borderId="0" xfId="0" applyFont="1" applyAlignment="1">
      <alignment horizontal="right" vertical="center"/>
    </xf>
    <xf numFmtId="164" fontId="1" fillId="0" borderId="22" xfId="0" applyNumberFormat="1" applyFont="1" applyBorder="1" applyAlignment="1">
      <alignment horizontal="right"/>
    </xf>
    <xf numFmtId="164" fontId="1" fillId="0" borderId="25" xfId="0" applyNumberFormat="1" applyFont="1" applyBorder="1" applyAlignment="1">
      <alignment horizontal="right"/>
    </xf>
    <xf numFmtId="164" fontId="2" fillId="0" borderId="32" xfId="0" applyNumberFormat="1" applyFont="1" applyBorder="1"/>
    <xf numFmtId="168" fontId="1" fillId="0" borderId="31" xfId="0" applyNumberFormat="1" applyFont="1" applyBorder="1" applyAlignment="1">
      <alignment vertical="center"/>
    </xf>
    <xf numFmtId="168" fontId="1" fillId="0" borderId="15" xfId="0" applyNumberFormat="1" applyFont="1" applyBorder="1" applyAlignment="1">
      <alignment vertical="center"/>
    </xf>
    <xf numFmtId="0" fontId="1" fillId="0" borderId="36" xfId="0" applyFont="1" applyBorder="1" applyAlignment="1">
      <alignment vertical="center"/>
    </xf>
    <xf numFmtId="167" fontId="1" fillId="0" borderId="22" xfId="0" applyNumberFormat="1" applyFont="1" applyBorder="1" applyAlignment="1">
      <alignment horizontal="right"/>
    </xf>
    <xf numFmtId="168" fontId="1" fillId="0" borderId="25" xfId="0" applyNumberFormat="1" applyFont="1" applyBorder="1" applyAlignment="1">
      <alignment vertical="center"/>
    </xf>
    <xf numFmtId="0" fontId="2" fillId="0" borderId="24" xfId="0" applyFont="1" applyBorder="1"/>
    <xf numFmtId="168" fontId="2" fillId="0" borderId="24" xfId="0" applyNumberFormat="1" applyFont="1" applyBorder="1"/>
    <xf numFmtId="167" fontId="1" fillId="0" borderId="15" xfId="0" applyNumberFormat="1" applyFont="1" applyBorder="1" applyAlignment="1">
      <alignment vertical="center"/>
    </xf>
    <xf numFmtId="164" fontId="1" fillId="0" borderId="22" xfId="0" applyNumberFormat="1" applyFont="1" applyBorder="1" applyAlignment="1">
      <alignment vertical="center"/>
    </xf>
    <xf numFmtId="164" fontId="1" fillId="0" borderId="15" xfId="0" applyNumberFormat="1" applyFont="1" applyBorder="1" applyAlignment="1">
      <alignment vertical="center"/>
    </xf>
    <xf numFmtId="164" fontId="1" fillId="0" borderId="11" xfId="0" applyNumberFormat="1" applyFont="1" applyBorder="1" applyAlignment="1">
      <alignment vertical="center"/>
    </xf>
    <xf numFmtId="164" fontId="1" fillId="0" borderId="31" xfId="0" applyNumberFormat="1" applyFont="1" applyBorder="1" applyAlignment="1">
      <alignment vertical="center"/>
    </xf>
    <xf numFmtId="168" fontId="1" fillId="0" borderId="22" xfId="0" applyNumberFormat="1" applyFont="1" applyBorder="1" applyAlignment="1">
      <alignment horizontal="right"/>
    </xf>
    <xf numFmtId="167" fontId="2" fillId="0" borderId="47" xfId="0" applyNumberFormat="1" applyFont="1" applyBorder="1"/>
    <xf numFmtId="167" fontId="2" fillId="0" borderId="32" xfId="0" applyNumberFormat="1" applyFont="1" applyBorder="1"/>
    <xf numFmtId="167" fontId="1" fillId="0" borderId="11" xfId="0" applyNumberFormat="1" applyFont="1" applyBorder="1"/>
    <xf numFmtId="167" fontId="1" fillId="0" borderId="15" xfId="0" applyNumberFormat="1" applyFont="1" applyBorder="1"/>
    <xf numFmtId="0" fontId="1" fillId="0" borderId="0" xfId="0" applyFont="1" applyAlignment="1">
      <alignment vertical="center"/>
    </xf>
    <xf numFmtId="0" fontId="1" fillId="0" borderId="43" xfId="0" applyFont="1" applyBorder="1" applyAlignment="1">
      <alignment horizontal="center" vertical="center"/>
    </xf>
    <xf numFmtId="0" fontId="8" fillId="0" borderId="0" xfId="3"/>
    <xf numFmtId="3" fontId="1" fillId="0" borderId="7" xfId="0" applyNumberFormat="1" applyFont="1" applyBorder="1" applyAlignment="1">
      <alignment horizontal="right"/>
    </xf>
    <xf numFmtId="0" fontId="1" fillId="0" borderId="5" xfId="0" applyFont="1" applyBorder="1" applyAlignment="1">
      <alignment horizontal="left"/>
    </xf>
    <xf numFmtId="11" fontId="1" fillId="0" borderId="15" xfId="0" applyNumberFormat="1" applyFont="1" applyBorder="1"/>
    <xf numFmtId="0" fontId="8" fillId="0" borderId="43" xfId="3" applyBorder="1" applyAlignment="1">
      <alignment horizontal="center" vertical="center"/>
    </xf>
    <xf numFmtId="0" fontId="1" fillId="0" borderId="6" xfId="0" applyFont="1" applyBorder="1" applyAlignment="1">
      <alignment horizontal="left" vertical="center"/>
    </xf>
    <xf numFmtId="11" fontId="1" fillId="0" borderId="7" xfId="0" quotePrefix="1" applyNumberFormat="1" applyFont="1" applyBorder="1" applyAlignment="1">
      <alignment horizontal="right" vertical="center"/>
    </xf>
    <xf numFmtId="167" fontId="1" fillId="0" borderId="7" xfId="0" quotePrefix="1" applyNumberFormat="1" applyFont="1" applyBorder="1" applyAlignment="1">
      <alignment horizontal="right" vertical="center"/>
    </xf>
    <xf numFmtId="0" fontId="8" fillId="0" borderId="8" xfId="3" applyBorder="1" applyAlignment="1">
      <alignment horizontal="center" vertical="center"/>
    </xf>
    <xf numFmtId="0" fontId="1" fillId="0" borderId="10" xfId="0" applyFont="1" applyBorder="1" applyAlignment="1">
      <alignment horizontal="left" vertical="center"/>
    </xf>
    <xf numFmtId="11" fontId="1" fillId="0" borderId="11" xfId="0" quotePrefix="1" applyNumberFormat="1" applyFont="1" applyBorder="1" applyAlignment="1">
      <alignment horizontal="right" vertical="center"/>
    </xf>
    <xf numFmtId="0" fontId="8" fillId="0" borderId="10"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right" vertical="center"/>
    </xf>
    <xf numFmtId="167" fontId="2" fillId="0" borderId="37" xfId="0" applyNumberFormat="1" applyFont="1" applyBorder="1" applyAlignment="1">
      <alignment vertical="center"/>
    </xf>
    <xf numFmtId="0" fontId="2" fillId="0" borderId="48" xfId="0" applyFont="1" applyBorder="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9" fillId="0" borderId="0" xfId="0" applyFont="1" applyAlignment="1">
      <alignment horizontal="right" vertical="center"/>
    </xf>
    <xf numFmtId="0" fontId="9" fillId="0" borderId="0" xfId="0" applyFont="1" applyAlignment="1">
      <alignment vertical="center"/>
    </xf>
    <xf numFmtId="0" fontId="8" fillId="0" borderId="0" xfId="0" applyFont="1" applyAlignment="1">
      <alignment vertical="center"/>
    </xf>
    <xf numFmtId="3" fontId="1" fillId="0" borderId="0" xfId="0" applyNumberFormat="1" applyFont="1" applyAlignment="1">
      <alignment vertical="center"/>
    </xf>
    <xf numFmtId="4" fontId="1" fillId="0" borderId="0" xfId="0" applyNumberFormat="1" applyFont="1" applyAlignment="1">
      <alignment horizontal="right" vertical="center"/>
    </xf>
    <xf numFmtId="4" fontId="1" fillId="0" borderId="0" xfId="0" applyNumberFormat="1" applyFont="1" applyAlignment="1">
      <alignment horizontal="left" vertical="center"/>
    </xf>
    <xf numFmtId="2" fontId="9" fillId="0" borderId="0" xfId="0" applyNumberFormat="1" applyFont="1" applyAlignment="1">
      <alignment horizontal="right" vertical="center"/>
    </xf>
    <xf numFmtId="169" fontId="9" fillId="0" borderId="0" xfId="0" applyNumberFormat="1" applyFont="1" applyAlignment="1">
      <alignment horizontal="left" vertical="center"/>
    </xf>
    <xf numFmtId="0" fontId="9" fillId="0" borderId="0" xfId="0" applyFont="1" applyAlignment="1">
      <alignment horizontal="left" vertical="center"/>
    </xf>
    <xf numFmtId="11" fontId="9" fillId="0" borderId="0" xfId="0" applyNumberFormat="1" applyFont="1" applyAlignment="1">
      <alignment vertical="center"/>
    </xf>
    <xf numFmtId="168" fontId="1" fillId="0" borderId="0" xfId="0" applyNumberFormat="1" applyFont="1" applyAlignment="1">
      <alignment vertical="center"/>
    </xf>
    <xf numFmtId="167" fontId="1" fillId="0" borderId="0" xfId="0" applyNumberFormat="1" applyFont="1" applyAlignment="1">
      <alignment vertical="center"/>
    </xf>
    <xf numFmtId="0" fontId="2" fillId="0" borderId="0" xfId="0" applyFont="1" applyAlignment="1">
      <alignment horizontal="right" vertical="center"/>
    </xf>
    <xf numFmtId="167" fontId="2" fillId="0" borderId="32" xfId="0" applyNumberFormat="1" applyFont="1" applyBorder="1" applyAlignment="1">
      <alignment vertical="center"/>
    </xf>
    <xf numFmtId="167" fontId="2" fillId="0" borderId="16" xfId="0" applyNumberFormat="1" applyFont="1" applyBorder="1" applyAlignment="1">
      <alignment vertical="center"/>
    </xf>
    <xf numFmtId="0" fontId="8" fillId="0" borderId="12" xfId="3" applyBorder="1" applyAlignment="1">
      <alignment horizontal="center" vertical="center"/>
    </xf>
    <xf numFmtId="0" fontId="8" fillId="0" borderId="14" xfId="0" applyFont="1" applyBorder="1" applyAlignment="1">
      <alignment horizontal="left" vertical="center"/>
    </xf>
    <xf numFmtId="167" fontId="1" fillId="0" borderId="16" xfId="0" quotePrefix="1" applyNumberFormat="1" applyFont="1" applyBorder="1" applyAlignment="1">
      <alignment horizontal="right" vertical="center"/>
    </xf>
    <xf numFmtId="3" fontId="1" fillId="0" borderId="7" xfId="0" applyNumberFormat="1" applyFont="1" applyBorder="1" applyAlignment="1">
      <alignment vertical="center"/>
    </xf>
    <xf numFmtId="3" fontId="8" fillId="0" borderId="7" xfId="4" applyNumberFormat="1" applyFont="1" applyBorder="1" applyAlignment="1">
      <alignment vertical="center"/>
    </xf>
    <xf numFmtId="3" fontId="8" fillId="0" borderId="11" xfId="4" applyNumberFormat="1" applyFont="1" applyBorder="1" applyAlignment="1">
      <alignment vertical="center"/>
    </xf>
    <xf numFmtId="0" fontId="8" fillId="0" borderId="11" xfId="4" applyNumberFormat="1" applyFont="1" applyBorder="1" applyAlignment="1">
      <alignment vertical="center"/>
    </xf>
    <xf numFmtId="164" fontId="8" fillId="0" borderId="11" xfId="4" applyNumberFormat="1" applyFont="1" applyBorder="1" applyAlignment="1">
      <alignment vertical="center"/>
    </xf>
    <xf numFmtId="0" fontId="1" fillId="0" borderId="15" xfId="0" applyFont="1" applyBorder="1" applyAlignment="1">
      <alignment vertical="center"/>
    </xf>
    <xf numFmtId="0" fontId="8" fillId="0" borderId="15" xfId="4" applyNumberFormat="1" applyFont="1" applyBorder="1" applyAlignment="1">
      <alignment vertical="center"/>
    </xf>
    <xf numFmtId="0" fontId="1" fillId="0" borderId="71" xfId="0" applyFont="1" applyBorder="1" applyAlignment="1">
      <alignment horizontal="center" vertical="center"/>
    </xf>
    <xf numFmtId="0" fontId="1" fillId="0" borderId="72" xfId="0" applyFont="1" applyBorder="1" applyAlignment="1">
      <alignment horizontal="center" vertical="center"/>
    </xf>
    <xf numFmtId="164" fontId="1" fillId="0" borderId="40" xfId="0" applyNumberFormat="1" applyFont="1" applyBorder="1" applyAlignment="1">
      <alignment vertical="center"/>
    </xf>
    <xf numFmtId="0" fontId="1" fillId="0" borderId="56" xfId="0" applyFont="1" applyBorder="1" applyAlignment="1">
      <alignment vertical="center"/>
    </xf>
    <xf numFmtId="0" fontId="19" fillId="0" borderId="0" xfId="0" applyFont="1" applyAlignment="1">
      <alignment vertical="center"/>
    </xf>
    <xf numFmtId="0" fontId="10" fillId="0" borderId="0" xfId="0" applyFont="1" applyAlignment="1">
      <alignment horizontal="right"/>
    </xf>
    <xf numFmtId="167" fontId="1" fillId="0" borderId="6" xfId="0" applyNumberFormat="1" applyFont="1" applyBorder="1" applyAlignment="1">
      <alignment horizontal="center"/>
    </xf>
    <xf numFmtId="167" fontId="1" fillId="0" borderId="6" xfId="0" quotePrefix="1" applyNumberFormat="1" applyFont="1" applyBorder="1" applyAlignment="1">
      <alignment horizontal="center"/>
    </xf>
    <xf numFmtId="11" fontId="1" fillId="0" borderId="0" xfId="0" applyNumberFormat="1" applyFont="1" applyAlignment="1">
      <alignment horizontal="center"/>
    </xf>
    <xf numFmtId="168" fontId="8" fillId="0" borderId="49" xfId="3" applyNumberFormat="1" applyBorder="1" applyAlignment="1">
      <alignment horizontal="center"/>
    </xf>
    <xf numFmtId="168" fontId="2" fillId="0" borderId="61" xfId="0" applyNumberFormat="1" applyFont="1" applyBorder="1" applyAlignment="1">
      <alignment horizontal="center"/>
    </xf>
    <xf numFmtId="167" fontId="8" fillId="0" borderId="49" xfId="3" applyNumberFormat="1" applyBorder="1" applyAlignment="1">
      <alignment horizontal="center"/>
    </xf>
    <xf numFmtId="11" fontId="10" fillId="0" borderId="0" xfId="0" applyNumberFormat="1" applyFont="1" applyAlignment="1">
      <alignment horizontal="right"/>
    </xf>
    <xf numFmtId="167" fontId="1" fillId="0" borderId="7" xfId="0" quotePrefix="1" applyNumberFormat="1" applyFont="1" applyBorder="1" applyAlignment="1">
      <alignment horizontal="center"/>
    </xf>
    <xf numFmtId="167" fontId="1" fillId="0" borderId="47" xfId="0" applyNumberFormat="1" applyFont="1" applyBorder="1" applyAlignment="1">
      <alignment horizontal="center"/>
    </xf>
    <xf numFmtId="167" fontId="8" fillId="0" borderId="37" xfId="0" applyNumberFormat="1" applyFont="1" applyBorder="1" applyAlignment="1">
      <alignment horizontal="center"/>
    </xf>
    <xf numFmtId="3" fontId="1" fillId="0" borderId="10" xfId="0" applyNumberFormat="1" applyFont="1" applyBorder="1" applyAlignment="1">
      <alignment horizontal="center" vertical="center"/>
    </xf>
    <xf numFmtId="11" fontId="1" fillId="0" borderId="62" xfId="0" applyNumberFormat="1" applyFont="1" applyBorder="1" applyAlignment="1">
      <alignment horizontal="center" vertical="center"/>
    </xf>
    <xf numFmtId="3" fontId="12" fillId="0" borderId="10" xfId="0" applyNumberFormat="1" applyFont="1" applyBorder="1" applyAlignment="1">
      <alignment horizontal="center" vertical="center"/>
    </xf>
    <xf numFmtId="2" fontId="12" fillId="0" borderId="62" xfId="0" applyNumberFormat="1" applyFont="1" applyBorder="1" applyAlignment="1">
      <alignment horizontal="center" vertical="center"/>
    </xf>
    <xf numFmtId="168" fontId="2" fillId="0" borderId="10" xfId="0" applyNumberFormat="1" applyFont="1" applyBorder="1" applyAlignment="1">
      <alignment horizontal="center" vertical="center"/>
    </xf>
    <xf numFmtId="3" fontId="2" fillId="0" borderId="10" xfId="0" applyNumberFormat="1" applyFont="1" applyBorder="1" applyAlignment="1">
      <alignment horizontal="center" vertical="center"/>
    </xf>
    <xf numFmtId="168" fontId="2" fillId="0" borderId="62" xfId="0" applyNumberFormat="1" applyFont="1" applyBorder="1" applyAlignment="1">
      <alignment horizontal="center" vertical="center"/>
    </xf>
    <xf numFmtId="0" fontId="1" fillId="0" borderId="62" xfId="0" applyFont="1" applyBorder="1" applyAlignment="1">
      <alignment horizontal="center" vertical="center"/>
    </xf>
    <xf numFmtId="164" fontId="2" fillId="0" borderId="10" xfId="0" applyNumberFormat="1" applyFont="1" applyBorder="1" applyAlignment="1">
      <alignment horizontal="center" vertical="center"/>
    </xf>
    <xf numFmtId="168" fontId="2" fillId="0" borderId="14" xfId="0" applyNumberFormat="1" applyFont="1" applyBorder="1" applyAlignment="1">
      <alignment horizontal="center" vertical="center"/>
    </xf>
    <xf numFmtId="164" fontId="2" fillId="0" borderId="14" xfId="0" applyNumberFormat="1" applyFont="1" applyBorder="1" applyAlignment="1">
      <alignment horizontal="center" vertical="center"/>
    </xf>
    <xf numFmtId="3" fontId="2" fillId="0" borderId="14" xfId="0" applyNumberFormat="1" applyFont="1" applyBorder="1" applyAlignment="1">
      <alignment horizontal="center" vertical="center"/>
    </xf>
    <xf numFmtId="168" fontId="2" fillId="0" borderId="83" xfId="0" applyNumberFormat="1" applyFont="1" applyBorder="1" applyAlignment="1">
      <alignment horizontal="center" vertical="center"/>
    </xf>
    <xf numFmtId="168" fontId="1" fillId="0" borderId="10" xfId="0" applyNumberFormat="1" applyFont="1" applyBorder="1" applyAlignment="1">
      <alignment horizontal="center" vertical="center"/>
    </xf>
    <xf numFmtId="168" fontId="12" fillId="0" borderId="10" xfId="0" applyNumberFormat="1" applyFont="1" applyBorder="1" applyAlignment="1">
      <alignment horizontal="center" vertical="center"/>
    </xf>
    <xf numFmtId="167" fontId="1" fillId="0" borderId="10" xfId="0" applyNumberFormat="1" applyFont="1" applyBorder="1" applyAlignment="1">
      <alignment horizontal="center" vertical="center"/>
    </xf>
    <xf numFmtId="167" fontId="1" fillId="0" borderId="62" xfId="0" applyNumberFormat="1" applyFont="1" applyBorder="1" applyAlignment="1">
      <alignment horizontal="center" vertical="center"/>
    </xf>
    <xf numFmtId="168" fontId="1" fillId="0" borderId="62" xfId="0" applyNumberFormat="1" applyFont="1" applyBorder="1" applyAlignment="1">
      <alignment horizontal="center" vertical="center"/>
    </xf>
    <xf numFmtId="168" fontId="12" fillId="0" borderId="62" xfId="0" applyNumberFormat="1" applyFont="1" applyBorder="1" applyAlignment="1">
      <alignment horizontal="center" vertical="center"/>
    </xf>
    <xf numFmtId="0" fontId="1" fillId="0" borderId="83" xfId="0" applyFont="1" applyBorder="1" applyAlignment="1">
      <alignment horizontal="center" vertical="center"/>
    </xf>
    <xf numFmtId="164" fontId="1" fillId="0" borderId="10" xfId="0" applyNumberFormat="1" applyFont="1" applyBorder="1" applyAlignment="1">
      <alignment horizontal="center" vertical="center"/>
    </xf>
    <xf numFmtId="167" fontId="1" fillId="0" borderId="28" xfId="0" applyNumberFormat="1" applyFont="1" applyBorder="1" applyAlignment="1">
      <alignment horizontal="center"/>
    </xf>
    <xf numFmtId="11" fontId="1" fillId="0" borderId="28" xfId="0" quotePrefix="1" applyNumberFormat="1" applyFont="1" applyBorder="1" applyAlignment="1">
      <alignment horizontal="center"/>
    </xf>
    <xf numFmtId="167" fontId="1" fillId="0" borderId="16" xfId="0" quotePrefix="1" applyNumberFormat="1" applyFont="1" applyBorder="1" applyAlignment="1">
      <alignment horizontal="center"/>
    </xf>
    <xf numFmtId="167" fontId="8" fillId="0" borderId="84" xfId="3" applyNumberFormat="1" applyBorder="1" applyAlignment="1">
      <alignment horizontal="center"/>
    </xf>
    <xf numFmtId="0" fontId="9" fillId="3" borderId="50" xfId="0" applyFont="1" applyFill="1" applyBorder="1" applyAlignment="1">
      <alignment horizontal="center" vertical="center" wrapText="1"/>
    </xf>
    <xf numFmtId="0" fontId="9" fillId="3" borderId="76" xfId="0" applyFont="1" applyFill="1" applyBorder="1" applyAlignment="1">
      <alignment horizontal="center" vertical="center" wrapText="1"/>
    </xf>
    <xf numFmtId="11" fontId="1" fillId="0" borderId="0" xfId="0" applyNumberFormat="1" applyFont="1" applyAlignment="1">
      <alignment vertical="center"/>
    </xf>
    <xf numFmtId="167" fontId="1" fillId="0" borderId="11" xfId="0" quotePrefix="1" applyNumberFormat="1" applyFont="1" applyBorder="1" applyAlignment="1">
      <alignment horizontal="right" vertical="center"/>
    </xf>
    <xf numFmtId="0" fontId="1" fillId="0" borderId="18" xfId="0" quotePrefix="1" applyFont="1" applyBorder="1" applyAlignment="1">
      <alignment vertical="center"/>
    </xf>
    <xf numFmtId="0" fontId="1" fillId="0" borderId="11" xfId="0" quotePrefix="1" applyFont="1" applyBorder="1" applyAlignment="1">
      <alignment horizontal="right" vertical="center"/>
    </xf>
    <xf numFmtId="0" fontId="1" fillId="0" borderId="9" xfId="0" quotePrefix="1" applyFont="1" applyBorder="1" applyAlignment="1">
      <alignment vertical="center"/>
    </xf>
    <xf numFmtId="0" fontId="1" fillId="0" borderId="15" xfId="0" quotePrefix="1" applyFont="1" applyBorder="1" applyAlignment="1">
      <alignment horizontal="right" vertical="center"/>
    </xf>
    <xf numFmtId="0" fontId="1" fillId="0" borderId="13" xfId="0" quotePrefix="1" applyFont="1" applyBorder="1" applyAlignment="1">
      <alignment vertical="center"/>
    </xf>
    <xf numFmtId="167" fontId="1" fillId="0" borderId="15" xfId="0" quotePrefix="1" applyNumberFormat="1" applyFont="1" applyBorder="1" applyAlignment="1">
      <alignment horizontal="right" vertical="center"/>
    </xf>
    <xf numFmtId="0" fontId="1" fillId="0" borderId="19" xfId="0" quotePrefix="1" applyFont="1" applyBorder="1" applyAlignment="1">
      <alignment vertical="center"/>
    </xf>
    <xf numFmtId="168" fontId="8" fillId="0" borderId="0" xfId="0" applyNumberFormat="1" applyFont="1" applyAlignment="1">
      <alignment horizontal="right" vertical="center"/>
    </xf>
    <xf numFmtId="166" fontId="8" fillId="0" borderId="40" xfId="0" applyNumberFormat="1" applyFont="1" applyBorder="1" applyAlignment="1">
      <alignment vertical="center"/>
    </xf>
    <xf numFmtId="0" fontId="1" fillId="0" borderId="5" xfId="0" quotePrefix="1" applyFont="1" applyBorder="1" applyAlignment="1">
      <alignment vertical="center"/>
    </xf>
    <xf numFmtId="168" fontId="1" fillId="0" borderId="7" xfId="0" quotePrefix="1" applyNumberFormat="1" applyFont="1" applyBorder="1" applyAlignment="1">
      <alignment horizontal="right" vertical="center"/>
    </xf>
    <xf numFmtId="0" fontId="1" fillId="0" borderId="20" xfId="0" quotePrefix="1" applyFont="1" applyBorder="1" applyAlignment="1">
      <alignment vertical="center"/>
    </xf>
    <xf numFmtId="166" fontId="8" fillId="0" borderId="11" xfId="0" applyNumberFormat="1" applyFont="1" applyBorder="1" applyAlignment="1">
      <alignment vertical="center"/>
    </xf>
    <xf numFmtId="166" fontId="8" fillId="0" borderId="0" xfId="0" applyNumberFormat="1" applyFont="1" applyAlignment="1">
      <alignment vertical="center"/>
    </xf>
    <xf numFmtId="166" fontId="1" fillId="0" borderId="15" xfId="0" applyNumberFormat="1" applyFont="1" applyBorder="1" applyAlignment="1">
      <alignment vertical="center"/>
    </xf>
    <xf numFmtId="168" fontId="2" fillId="0" borderId="16" xfId="0" applyNumberFormat="1" applyFont="1" applyBorder="1" applyAlignment="1">
      <alignment vertical="center"/>
    </xf>
    <xf numFmtId="167" fontId="1" fillId="0" borderId="68" xfId="0" quotePrefix="1" applyNumberFormat="1" applyFont="1" applyBorder="1" applyAlignment="1">
      <alignment horizontal="right" vertical="center"/>
    </xf>
    <xf numFmtId="167" fontId="8" fillId="0" borderId="7" xfId="0" quotePrefix="1" applyNumberFormat="1" applyFont="1" applyBorder="1" applyAlignment="1">
      <alignment horizontal="right" vertical="center"/>
    </xf>
    <xf numFmtId="0" fontId="8" fillId="0" borderId="9" xfId="0" applyFont="1" applyBorder="1" applyAlignment="1">
      <alignment vertical="center"/>
    </xf>
    <xf numFmtId="167" fontId="1" fillId="0" borderId="23" xfId="0" quotePrefix="1" applyNumberFormat="1" applyFont="1" applyBorder="1" applyAlignment="1">
      <alignment horizontal="right" vertical="center"/>
    </xf>
    <xf numFmtId="167" fontId="1" fillId="0" borderId="32" xfId="0" quotePrefix="1" applyNumberFormat="1" applyFont="1" applyBorder="1" applyAlignment="1">
      <alignment horizontal="right" vertical="center"/>
    </xf>
    <xf numFmtId="167" fontId="8" fillId="0" borderId="16" xfId="0" quotePrefix="1" applyNumberFormat="1" applyFont="1" applyBorder="1" applyAlignment="1">
      <alignment horizontal="right" vertical="center"/>
    </xf>
    <xf numFmtId="0" fontId="8" fillId="0" borderId="13" xfId="0" applyFont="1" applyBorder="1" applyAlignment="1">
      <alignment vertical="center"/>
    </xf>
    <xf numFmtId="167" fontId="1" fillId="0" borderId="24" xfId="0" quotePrefix="1" applyNumberFormat="1" applyFont="1" applyBorder="1" applyAlignment="1">
      <alignment horizontal="right" vertical="center"/>
    </xf>
    <xf numFmtId="167" fontId="9" fillId="0" borderId="47" xfId="0" applyNumberFormat="1" applyFont="1" applyBorder="1" applyAlignment="1">
      <alignment vertical="center"/>
    </xf>
    <xf numFmtId="0" fontId="9" fillId="0" borderId="48" xfId="0" applyFont="1" applyBorder="1" applyAlignment="1">
      <alignment vertical="center"/>
    </xf>
    <xf numFmtId="0" fontId="9" fillId="0" borderId="39" xfId="0" applyFont="1" applyBorder="1" applyAlignment="1">
      <alignment vertical="center"/>
    </xf>
    <xf numFmtId="167" fontId="9" fillId="0" borderId="38" xfId="0" applyNumberFormat="1" applyFont="1" applyBorder="1" applyAlignment="1">
      <alignment vertical="center"/>
    </xf>
    <xf numFmtId="11" fontId="1" fillId="0" borderId="7" xfId="0" applyNumberFormat="1" applyFont="1" applyBorder="1" applyAlignment="1">
      <alignment vertical="center"/>
    </xf>
    <xf numFmtId="167" fontId="1" fillId="0" borderId="5" xfId="0" quotePrefix="1" applyNumberFormat="1" applyFont="1" applyBorder="1" applyAlignment="1">
      <alignment vertical="center"/>
    </xf>
    <xf numFmtId="167" fontId="1" fillId="0" borderId="20" xfId="0" quotePrefix="1" applyNumberFormat="1" applyFont="1" applyBorder="1" applyAlignment="1">
      <alignment vertical="center"/>
    </xf>
    <xf numFmtId="0" fontId="1" fillId="0" borderId="7" xfId="0" quotePrefix="1" applyFont="1" applyBorder="1" applyAlignment="1">
      <alignment horizontal="right" vertical="center"/>
    </xf>
    <xf numFmtId="167" fontId="1" fillId="0" borderId="9" xfId="0" quotePrefix="1" applyNumberFormat="1" applyFont="1" applyBorder="1" applyAlignment="1">
      <alignment vertical="center"/>
    </xf>
    <xf numFmtId="167" fontId="1" fillId="0" borderId="18" xfId="0" quotePrefix="1" applyNumberFormat="1" applyFont="1" applyBorder="1" applyAlignment="1">
      <alignment vertical="center"/>
    </xf>
    <xf numFmtId="167" fontId="1" fillId="0" borderId="9" xfId="0" applyNumberFormat="1" applyFont="1" applyBorder="1" applyAlignment="1">
      <alignment vertical="center"/>
    </xf>
    <xf numFmtId="167" fontId="1" fillId="0" borderId="18" xfId="0" applyNumberFormat="1" applyFont="1" applyBorder="1" applyAlignment="1">
      <alignment vertical="center"/>
    </xf>
    <xf numFmtId="11" fontId="1" fillId="0" borderId="24" xfId="0" applyNumberFormat="1" applyFont="1" applyBorder="1" applyAlignment="1">
      <alignment vertical="center"/>
    </xf>
    <xf numFmtId="167" fontId="1" fillId="0" borderId="13" xfId="0" quotePrefix="1" applyNumberFormat="1" applyFont="1" applyBorder="1" applyAlignment="1">
      <alignment vertical="center"/>
    </xf>
    <xf numFmtId="167" fontId="1" fillId="0" borderId="19" xfId="0" quotePrefix="1" applyNumberFormat="1" applyFont="1" applyBorder="1" applyAlignment="1">
      <alignment vertical="center"/>
    </xf>
    <xf numFmtId="0" fontId="1" fillId="0" borderId="16" xfId="0" quotePrefix="1" applyFont="1" applyBorder="1" applyAlignment="1">
      <alignment horizontal="right" vertical="center"/>
    </xf>
    <xf numFmtId="168" fontId="9" fillId="0" borderId="37" xfId="0" applyNumberFormat="1" applyFont="1" applyBorder="1" applyAlignment="1">
      <alignment vertical="center"/>
    </xf>
    <xf numFmtId="168" fontId="9" fillId="0" borderId="47" xfId="0" applyNumberFormat="1" applyFont="1" applyBorder="1" applyAlignment="1">
      <alignment vertical="center"/>
    </xf>
    <xf numFmtId="167" fontId="9" fillId="0" borderId="37" xfId="0" applyNumberFormat="1" applyFont="1" applyBorder="1" applyAlignment="1">
      <alignment vertical="center"/>
    </xf>
    <xf numFmtId="0" fontId="9" fillId="0" borderId="38" xfId="0" applyFont="1" applyBorder="1" applyAlignment="1">
      <alignment vertical="center"/>
    </xf>
    <xf numFmtId="0" fontId="9" fillId="0" borderId="47" xfId="0" applyFont="1" applyBorder="1" applyAlignment="1">
      <alignment vertical="center"/>
    </xf>
    <xf numFmtId="168" fontId="2" fillId="0" borderId="84" xfId="0" applyNumberFormat="1" applyFont="1" applyBorder="1" applyAlignment="1">
      <alignment horizontal="center"/>
    </xf>
    <xf numFmtId="168" fontId="8" fillId="0" borderId="84" xfId="3" applyNumberFormat="1" applyBorder="1" applyAlignment="1">
      <alignment horizontal="center"/>
    </xf>
    <xf numFmtId="168" fontId="1" fillId="0" borderId="16" xfId="0" quotePrefix="1" applyNumberFormat="1" applyFont="1" applyBorder="1" applyAlignment="1">
      <alignment horizontal="right" vertical="center"/>
    </xf>
    <xf numFmtId="0" fontId="2" fillId="0" borderId="0" xfId="0" applyFont="1" applyAlignment="1">
      <alignment horizontal="center" wrapText="1"/>
    </xf>
    <xf numFmtId="0" fontId="2" fillId="3" borderId="52" xfId="0" applyFont="1" applyFill="1" applyBorder="1" applyAlignment="1">
      <alignment horizontal="center" wrapText="1"/>
    </xf>
    <xf numFmtId="0" fontId="9" fillId="3" borderId="52" xfId="0" applyFont="1" applyFill="1" applyBorder="1" applyAlignment="1">
      <alignment horizontal="center" wrapText="1"/>
    </xf>
    <xf numFmtId="167" fontId="1" fillId="0" borderId="6" xfId="0" applyNumberFormat="1" applyFont="1" applyBorder="1" applyAlignment="1">
      <alignment horizontal="center" wrapText="1"/>
    </xf>
    <xf numFmtId="167" fontId="1" fillId="0" borderId="6" xfId="0" quotePrefix="1" applyNumberFormat="1" applyFont="1" applyBorder="1" applyAlignment="1">
      <alignment horizontal="center" wrapText="1"/>
    </xf>
    <xf numFmtId="168" fontId="1" fillId="0" borderId="6" xfId="0" applyNumberFormat="1" applyFont="1" applyBorder="1" applyAlignment="1">
      <alignment horizontal="center" wrapText="1"/>
    </xf>
    <xf numFmtId="168" fontId="1" fillId="0" borderId="6" xfId="0" quotePrefix="1" applyNumberFormat="1" applyFont="1" applyBorder="1" applyAlignment="1">
      <alignment horizontal="center" wrapText="1"/>
    </xf>
    <xf numFmtId="11" fontId="1" fillId="0" borderId="6" xfId="0" quotePrefix="1" applyNumberFormat="1" applyFont="1" applyBorder="1" applyAlignment="1">
      <alignment horizontal="center" wrapText="1"/>
    </xf>
    <xf numFmtId="167" fontId="1" fillId="0" borderId="28" xfId="0" applyNumberFormat="1" applyFont="1" applyBorder="1" applyAlignment="1">
      <alignment horizontal="center" wrapText="1"/>
    </xf>
    <xf numFmtId="167" fontId="1" fillId="0" borderId="28" xfId="0" quotePrefix="1" applyNumberFormat="1" applyFont="1" applyBorder="1" applyAlignment="1">
      <alignment horizontal="center" wrapText="1"/>
    </xf>
    <xf numFmtId="168" fontId="1" fillId="0" borderId="55" xfId="0" applyNumberFormat="1" applyFont="1" applyBorder="1" applyAlignment="1">
      <alignment horizontal="center" wrapText="1"/>
    </xf>
    <xf numFmtId="168" fontId="1" fillId="0" borderId="28" xfId="0" applyNumberFormat="1" applyFont="1" applyBorder="1" applyAlignment="1">
      <alignment horizontal="center" wrapText="1"/>
    </xf>
    <xf numFmtId="0" fontId="10" fillId="0" borderId="0" xfId="0" applyFont="1" applyAlignment="1">
      <alignment horizontal="right" wrapText="1"/>
    </xf>
    <xf numFmtId="0" fontId="1" fillId="0" borderId="0" xfId="0" applyFont="1" applyAlignment="1">
      <alignment wrapText="1"/>
    </xf>
    <xf numFmtId="167" fontId="1" fillId="0" borderId="0" xfId="0" applyNumberFormat="1" applyFont="1" applyAlignment="1">
      <alignment wrapText="1"/>
    </xf>
    <xf numFmtId="167" fontId="1" fillId="0" borderId="0" xfId="0" applyNumberFormat="1" applyFont="1" applyAlignment="1">
      <alignment horizontal="center" wrapText="1"/>
    </xf>
    <xf numFmtId="11" fontId="1" fillId="0" borderId="0" xfId="0" applyNumberFormat="1" applyFont="1" applyAlignment="1">
      <alignment horizontal="center" wrapText="1"/>
    </xf>
    <xf numFmtId="0" fontId="1" fillId="0" borderId="0" xfId="0" applyFont="1" applyAlignment="1">
      <alignment horizontal="center" wrapText="1"/>
    </xf>
    <xf numFmtId="168" fontId="10" fillId="0" borderId="0" xfId="0" applyNumberFormat="1" applyFont="1" applyAlignment="1">
      <alignment horizontal="right" wrapText="1"/>
    </xf>
    <xf numFmtId="168" fontId="1" fillId="0" borderId="0" xfId="0" applyNumberFormat="1" applyFont="1" applyAlignment="1">
      <alignment horizontal="center" wrapText="1"/>
    </xf>
    <xf numFmtId="0" fontId="1" fillId="0" borderId="6" xfId="0" applyFont="1" applyBorder="1" applyAlignment="1">
      <alignment horizontal="center" wrapText="1"/>
    </xf>
    <xf numFmtId="0" fontId="1" fillId="0" borderId="28" xfId="0" applyFont="1" applyBorder="1" applyAlignment="1">
      <alignment horizontal="center" wrapText="1"/>
    </xf>
    <xf numFmtId="167" fontId="1" fillId="0" borderId="55" xfId="0" applyNumberFormat="1" applyFont="1" applyBorder="1" applyAlignment="1">
      <alignment horizontal="center" wrapText="1"/>
    </xf>
    <xf numFmtId="11" fontId="1" fillId="0" borderId="0" xfId="0" applyNumberFormat="1" applyFont="1" applyAlignment="1">
      <alignment wrapText="1"/>
    </xf>
    <xf numFmtId="0" fontId="5" fillId="0" borderId="0" xfId="0" applyFont="1" applyAlignment="1">
      <alignment vertical="center"/>
    </xf>
    <xf numFmtId="0" fontId="6"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167" fontId="1" fillId="0" borderId="25" xfId="0" applyNumberFormat="1" applyFont="1" applyBorder="1" applyAlignment="1">
      <alignment vertical="center"/>
    </xf>
    <xf numFmtId="0" fontId="20" fillId="0" borderId="0" xfId="0" applyFont="1"/>
    <xf numFmtId="3" fontId="5" fillId="0" borderId="0" xfId="0" applyNumberFormat="1" applyFont="1"/>
    <xf numFmtId="2" fontId="5" fillId="0" borderId="0" xfId="0" applyNumberFormat="1" applyFont="1"/>
    <xf numFmtId="0" fontId="6" fillId="0" borderId="0" xfId="0" applyFont="1" applyAlignment="1">
      <alignment horizontal="center"/>
    </xf>
    <xf numFmtId="170" fontId="5" fillId="0" borderId="0" xfId="0" applyNumberFormat="1" applyFont="1" applyAlignment="1">
      <alignment horizontal="right"/>
    </xf>
    <xf numFmtId="0" fontId="1" fillId="0" borderId="7" xfId="0" applyFont="1" applyBorder="1" applyAlignment="1">
      <alignment horizontal="center"/>
    </xf>
    <xf numFmtId="167" fontId="1" fillId="0" borderId="7" xfId="0" applyNumberFormat="1" applyFont="1" applyBorder="1" applyAlignment="1">
      <alignment vertical="center"/>
    </xf>
    <xf numFmtId="0" fontId="1" fillId="0" borderId="20" xfId="0" applyFont="1" applyBorder="1" applyAlignment="1">
      <alignment horizontal="left"/>
    </xf>
    <xf numFmtId="0" fontId="2" fillId="2" borderId="85" xfId="0" applyFont="1" applyFill="1" applyBorder="1" applyAlignment="1">
      <alignment horizontal="center" vertical="center" wrapText="1"/>
    </xf>
    <xf numFmtId="0" fontId="1" fillId="0" borderId="38" xfId="0" applyFont="1" applyBorder="1"/>
    <xf numFmtId="3" fontId="2" fillId="0" borderId="0" xfId="0" applyNumberFormat="1" applyFont="1" applyAlignment="1">
      <alignment vertical="center"/>
    </xf>
    <xf numFmtId="2" fontId="2" fillId="0" borderId="0" xfId="0" applyNumberFormat="1" applyFont="1" applyAlignment="1">
      <alignment vertical="center"/>
    </xf>
    <xf numFmtId="11" fontId="5" fillId="0" borderId="0" xfId="0" applyNumberFormat="1"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10" fillId="0" borderId="0" xfId="0" applyFont="1" applyAlignment="1">
      <alignment horizontal="left" vertical="center"/>
    </xf>
    <xf numFmtId="0" fontId="22" fillId="0" borderId="0" xfId="0" applyFont="1" applyAlignment="1">
      <alignment horizontal="right" vertical="center"/>
    </xf>
    <xf numFmtId="168" fontId="22" fillId="0" borderId="0" xfId="0" applyNumberFormat="1" applyFont="1" applyAlignment="1">
      <alignment horizontal="right" vertical="center"/>
    </xf>
    <xf numFmtId="0" fontId="22" fillId="0" borderId="0" xfId="0" applyFont="1" applyAlignment="1">
      <alignment vertical="center"/>
    </xf>
    <xf numFmtId="0" fontId="10" fillId="0" borderId="0" xfId="0" applyFont="1" applyAlignment="1">
      <alignment vertical="center"/>
    </xf>
    <xf numFmtId="0" fontId="10" fillId="0" borderId="0" xfId="3" applyFont="1" applyAlignment="1">
      <alignment vertical="center"/>
    </xf>
    <xf numFmtId="0" fontId="10" fillId="0" borderId="0" xfId="0" applyFont="1" applyAlignment="1">
      <alignment horizontal="right" vertical="center"/>
    </xf>
    <xf numFmtId="4" fontId="5" fillId="0" borderId="0" xfId="0" applyNumberFormat="1" applyFont="1" applyAlignment="1">
      <alignment horizontal="right" vertical="center"/>
    </xf>
    <xf numFmtId="4" fontId="5" fillId="0" borderId="0" xfId="0" applyNumberFormat="1" applyFont="1" applyAlignment="1">
      <alignment horizontal="left" vertical="center"/>
    </xf>
    <xf numFmtId="3" fontId="5" fillId="0" borderId="0" xfId="0" applyNumberFormat="1" applyFont="1" applyAlignment="1">
      <alignment vertical="center"/>
    </xf>
    <xf numFmtId="3" fontId="5" fillId="0" borderId="0" xfId="0" applyNumberFormat="1" applyFont="1" applyAlignment="1">
      <alignment horizontal="right" vertical="center"/>
    </xf>
    <xf numFmtId="164" fontId="10" fillId="0" borderId="0" xfId="0" applyNumberFormat="1" applyFont="1" applyAlignment="1">
      <alignment horizontal="right" vertical="center"/>
    </xf>
    <xf numFmtId="164" fontId="5" fillId="0" borderId="0" xfId="0" applyNumberFormat="1" applyFont="1" applyAlignment="1">
      <alignment vertical="center"/>
    </xf>
    <xf numFmtId="164" fontId="5" fillId="0" borderId="0" xfId="0" applyNumberFormat="1" applyFont="1" applyAlignment="1">
      <alignment horizontal="right" vertical="center"/>
    </xf>
    <xf numFmtId="3" fontId="5" fillId="0" borderId="0" xfId="0" applyNumberFormat="1" applyFont="1" applyAlignment="1">
      <alignment horizontal="left" vertical="center"/>
    </xf>
    <xf numFmtId="3" fontId="10" fillId="0" borderId="0" xfId="0" applyNumberFormat="1" applyFont="1" applyAlignment="1">
      <alignment horizontal="right" vertical="center"/>
    </xf>
    <xf numFmtId="0" fontId="10" fillId="0" borderId="0" xfId="0" applyFont="1" applyAlignment="1">
      <alignment horizontal="left"/>
    </xf>
    <xf numFmtId="0" fontId="22" fillId="0" borderId="0" xfId="0" applyFont="1" applyAlignment="1">
      <alignment horizontal="right"/>
    </xf>
    <xf numFmtId="168" fontId="22" fillId="0" borderId="0" xfId="0" applyNumberFormat="1" applyFont="1" applyAlignment="1">
      <alignment horizontal="right"/>
    </xf>
    <xf numFmtId="0" fontId="22" fillId="0" borderId="0" xfId="0" applyFont="1"/>
    <xf numFmtId="0" fontId="10" fillId="0" borderId="0" xfId="3" applyFont="1"/>
    <xf numFmtId="3" fontId="10" fillId="0" borderId="0" xfId="0" applyNumberFormat="1" applyFont="1" applyAlignment="1">
      <alignment horizontal="right"/>
    </xf>
    <xf numFmtId="164" fontId="5" fillId="0" borderId="0" xfId="0" applyNumberFormat="1" applyFont="1" applyAlignment="1">
      <alignment horizontal="right"/>
    </xf>
    <xf numFmtId="164" fontId="10" fillId="0" borderId="0" xfId="0" applyNumberFormat="1" applyFont="1" applyAlignment="1">
      <alignment horizontal="right"/>
    </xf>
    <xf numFmtId="3" fontId="5" fillId="0" borderId="0" xfId="0" applyNumberFormat="1" applyFont="1" applyAlignment="1">
      <alignment horizontal="left"/>
    </xf>
    <xf numFmtId="0" fontId="21" fillId="0" borderId="0" xfId="0" applyFont="1" applyAlignment="1">
      <alignment horizontal="center"/>
    </xf>
    <xf numFmtId="3" fontId="5" fillId="0" borderId="0" xfId="0" applyNumberFormat="1" applyFont="1" applyAlignment="1">
      <alignment horizontal="center" vertical="center"/>
    </xf>
    <xf numFmtId="0" fontId="21" fillId="0" borderId="0" xfId="0" applyFont="1" applyAlignment="1">
      <alignment vertical="center"/>
    </xf>
    <xf numFmtId="165" fontId="10" fillId="0" borderId="0" xfId="0" applyNumberFormat="1" applyFont="1" applyAlignment="1">
      <alignment horizontal="right" vertical="center"/>
    </xf>
    <xf numFmtId="168" fontId="10" fillId="0" borderId="0" xfId="0" applyNumberFormat="1" applyFont="1" applyAlignment="1">
      <alignment horizontal="right" vertical="center"/>
    </xf>
    <xf numFmtId="167" fontId="10" fillId="0" borderId="0" xfId="0" applyNumberFormat="1" applyFont="1" applyAlignment="1">
      <alignment horizontal="right" vertical="center"/>
    </xf>
    <xf numFmtId="168" fontId="1" fillId="0" borderId="28" xfId="0" quotePrefix="1" applyNumberFormat="1" applyFont="1" applyBorder="1" applyAlignment="1">
      <alignment horizontal="center" wrapText="1"/>
    </xf>
    <xf numFmtId="164" fontId="12" fillId="0" borderId="10" xfId="0" applyNumberFormat="1" applyFont="1" applyBorder="1" applyAlignment="1">
      <alignment horizontal="center" vertical="center"/>
    </xf>
    <xf numFmtId="0" fontId="1" fillId="0" borderId="11" xfId="0"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wrapText="1"/>
    </xf>
    <xf numFmtId="0" fontId="1" fillId="0" borderId="23" xfId="0" applyFont="1" applyBorder="1" applyAlignment="1">
      <alignment wrapText="1"/>
    </xf>
    <xf numFmtId="0" fontId="1" fillId="0" borderId="86" xfId="0" applyFont="1" applyBorder="1" applyAlignment="1">
      <alignment horizontal="center" vertical="center"/>
    </xf>
    <xf numFmtId="0" fontId="1" fillId="0" borderId="31" xfId="0" applyFont="1" applyBorder="1" applyAlignment="1">
      <alignment vertical="center"/>
    </xf>
    <xf numFmtId="0" fontId="1" fillId="0" borderId="24" xfId="0" applyFont="1" applyBorder="1"/>
    <xf numFmtId="0" fontId="1" fillId="0" borderId="43" xfId="0" applyFont="1" applyBorder="1" applyAlignment="1">
      <alignment horizontal="right"/>
    </xf>
    <xf numFmtId="0" fontId="1" fillId="0" borderId="8" xfId="0" applyFont="1" applyBorder="1" applyAlignment="1">
      <alignment horizontal="right"/>
    </xf>
    <xf numFmtId="0" fontId="5" fillId="0" borderId="8" xfId="0" applyFont="1" applyBorder="1" applyAlignment="1">
      <alignment horizontal="right" vertical="center"/>
    </xf>
    <xf numFmtId="11" fontId="1" fillId="0" borderId="0" xfId="0" applyNumberFormat="1" applyFont="1"/>
    <xf numFmtId="0" fontId="5" fillId="0" borderId="12" xfId="0" applyFont="1" applyBorder="1" applyAlignment="1">
      <alignment horizontal="right" vertical="center"/>
    </xf>
    <xf numFmtId="0" fontId="10" fillId="0" borderId="0" xfId="7" applyFont="1" applyAlignment="1">
      <alignment vertical="center"/>
    </xf>
    <xf numFmtId="0" fontId="1" fillId="4" borderId="62" xfId="0" applyFont="1" applyFill="1" applyBorder="1" applyAlignment="1">
      <alignment horizontal="center"/>
    </xf>
    <xf numFmtId="0" fontId="1" fillId="4" borderId="83" xfId="0" applyFont="1" applyFill="1" applyBorder="1" applyAlignment="1">
      <alignment horizontal="center"/>
    </xf>
    <xf numFmtId="0" fontId="1" fillId="0" borderId="12" xfId="0" applyFont="1" applyBorder="1" applyAlignment="1">
      <alignment horizontal="right"/>
    </xf>
    <xf numFmtId="0" fontId="1" fillId="0" borderId="62" xfId="0" applyFont="1" applyBorder="1" applyAlignment="1">
      <alignment horizontal="center"/>
    </xf>
    <xf numFmtId="0" fontId="8" fillId="0" borderId="10" xfId="0" applyFont="1" applyBorder="1" applyAlignment="1">
      <alignment horizontal="center"/>
    </xf>
    <xf numFmtId="3" fontId="8" fillId="0" borderId="10" xfId="0" applyNumberFormat="1" applyFont="1" applyBorder="1" applyAlignment="1">
      <alignment horizontal="center"/>
    </xf>
    <xf numFmtId="166" fontId="8" fillId="0" borderId="6" xfId="0" applyNumberFormat="1" applyFont="1" applyBorder="1" applyAlignment="1">
      <alignment horizontal="center"/>
    </xf>
    <xf numFmtId="168" fontId="8" fillId="0" borderId="10" xfId="0" applyNumberFormat="1" applyFont="1" applyBorder="1" applyAlignment="1">
      <alignment horizontal="center"/>
    </xf>
    <xf numFmtId="2" fontId="8" fillId="0" borderId="10" xfId="0" applyNumberFormat="1" applyFont="1" applyBorder="1" applyAlignment="1">
      <alignment horizontal="center"/>
    </xf>
    <xf numFmtId="171" fontId="8" fillId="0" borderId="10" xfId="0" applyNumberFormat="1" applyFont="1" applyBorder="1" applyAlignment="1">
      <alignment horizontal="center"/>
    </xf>
    <xf numFmtId="11" fontId="8" fillId="0" borderId="10" xfId="0" applyNumberFormat="1" applyFont="1" applyBorder="1" applyAlignment="1">
      <alignment horizontal="center"/>
    </xf>
    <xf numFmtId="4" fontId="8" fillId="0" borderId="10" xfId="0" applyNumberFormat="1" applyFont="1" applyBorder="1" applyAlignment="1">
      <alignment horizontal="center"/>
    </xf>
    <xf numFmtId="1" fontId="8" fillId="0" borderId="10" xfId="0" applyNumberFormat="1" applyFont="1" applyBorder="1" applyAlignment="1">
      <alignment horizontal="center"/>
    </xf>
    <xf numFmtId="11" fontId="8" fillId="0" borderId="14" xfId="0" applyNumberFormat="1" applyFont="1" applyBorder="1" applyAlignment="1">
      <alignment horizontal="center"/>
    </xf>
    <xf numFmtId="0" fontId="10" fillId="0" borderId="0" xfId="0" applyFont="1" applyAlignment="1">
      <alignment horizontal="left" vertical="center" wrapText="1"/>
    </xf>
    <xf numFmtId="0" fontId="2" fillId="2" borderId="3" xfId="0" applyFont="1" applyFill="1" applyBorder="1" applyAlignment="1">
      <alignment horizontal="center" vertical="center" wrapText="1"/>
    </xf>
    <xf numFmtId="0" fontId="1" fillId="0" borderId="35" xfId="0" applyFont="1" applyBorder="1" applyAlignment="1">
      <alignment horizontal="center" vertical="center"/>
    </xf>
    <xf numFmtId="0" fontId="2" fillId="2" borderId="26"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10" fillId="0" borderId="0" xfId="0" applyFont="1" applyAlignment="1">
      <alignment horizontal="center" vertical="center"/>
    </xf>
    <xf numFmtId="0" fontId="26" fillId="0" borderId="0" xfId="0" applyFont="1" applyAlignment="1">
      <alignment horizontal="right" vertical="center"/>
    </xf>
    <xf numFmtId="164" fontId="10" fillId="0" borderId="0" xfId="0" applyNumberFormat="1" applyFont="1" applyAlignment="1">
      <alignment horizontal="center" vertical="center"/>
    </xf>
    <xf numFmtId="171" fontId="10" fillId="0" borderId="0" xfId="0" applyNumberFormat="1" applyFont="1" applyAlignment="1">
      <alignment vertical="center"/>
    </xf>
    <xf numFmtId="0" fontId="1" fillId="0" borderId="88" xfId="0" applyFont="1" applyBorder="1"/>
    <xf numFmtId="0" fontId="1" fillId="0" borderId="15" xfId="0" applyFont="1" applyBorder="1" applyAlignment="1">
      <alignment horizontal="center"/>
    </xf>
    <xf numFmtId="3" fontId="1" fillId="0" borderId="25" xfId="0" applyNumberFormat="1" applyFont="1" applyBorder="1" applyAlignment="1">
      <alignment horizontal="right"/>
    </xf>
    <xf numFmtId="1" fontId="1" fillId="0" borderId="15" xfId="0" applyNumberFormat="1" applyFont="1" applyBorder="1" applyAlignment="1">
      <alignment vertical="center"/>
    </xf>
    <xf numFmtId="0" fontId="1" fillId="0" borderId="24" xfId="0" applyFont="1" applyBorder="1" applyAlignment="1">
      <alignment vertical="center"/>
    </xf>
    <xf numFmtId="0" fontId="1" fillId="0" borderId="9" xfId="0" applyFont="1" applyBorder="1" applyAlignment="1">
      <alignment horizontal="left" vertical="center"/>
    </xf>
    <xf numFmtId="0" fontId="8" fillId="0" borderId="7" xfId="0" applyFont="1" applyBorder="1" applyAlignment="1">
      <alignment vertical="center"/>
    </xf>
    <xf numFmtId="3" fontId="1" fillId="0" borderId="15" xfId="0" applyNumberFormat="1" applyFont="1" applyBorder="1"/>
    <xf numFmtId="168" fontId="1" fillId="0" borderId="15" xfId="0" applyNumberFormat="1" applyFont="1" applyBorder="1"/>
    <xf numFmtId="167" fontId="1" fillId="0" borderId="25" xfId="0" applyNumberFormat="1" applyFont="1" applyBorder="1" applyAlignment="1">
      <alignment horizontal="right"/>
    </xf>
    <xf numFmtId="3" fontId="1" fillId="0" borderId="25" xfId="0" applyNumberFormat="1" applyFont="1" applyBorder="1" applyAlignment="1">
      <alignment vertical="center"/>
    </xf>
    <xf numFmtId="0" fontId="8" fillId="0" borderId="8" xfId="0" applyFont="1" applyBorder="1" applyAlignment="1">
      <alignment horizontal="right"/>
    </xf>
    <xf numFmtId="0" fontId="8" fillId="0" borderId="62" xfId="0" applyFont="1" applyBorder="1" applyAlignment="1">
      <alignment horizontal="center"/>
    </xf>
    <xf numFmtId="0" fontId="1" fillId="0" borderId="49" xfId="0" applyFont="1" applyBorder="1" applyAlignment="1">
      <alignment horizontal="center"/>
    </xf>
    <xf numFmtId="3" fontId="8" fillId="0" borderId="62" xfId="0" applyNumberFormat="1" applyFont="1" applyBorder="1" applyAlignment="1">
      <alignment horizontal="center"/>
    </xf>
    <xf numFmtId="0" fontId="8" fillId="0" borderId="83" xfId="0" applyFont="1" applyBorder="1" applyAlignment="1">
      <alignment horizontal="center"/>
    </xf>
    <xf numFmtId="166" fontId="8" fillId="0" borderId="10" xfId="0" applyNumberFormat="1" applyFont="1" applyBorder="1" applyAlignment="1">
      <alignment horizontal="center"/>
    </xf>
    <xf numFmtId="11" fontId="8" fillId="0" borderId="0" xfId="0" applyNumberFormat="1" applyFont="1" applyAlignment="1">
      <alignment horizontal="center"/>
    </xf>
    <xf numFmtId="3" fontId="1" fillId="0" borderId="11" xfId="0" applyNumberFormat="1" applyFont="1" applyBorder="1" applyAlignment="1">
      <alignment horizontal="right" vertical="center"/>
    </xf>
    <xf numFmtId="0" fontId="1" fillId="0" borderId="7" xfId="0" applyFont="1" applyBorder="1" applyAlignment="1">
      <alignment horizontal="right" vertical="center"/>
    </xf>
    <xf numFmtId="0" fontId="1" fillId="0" borderId="5" xfId="0" applyFont="1" applyBorder="1" applyAlignment="1">
      <alignment horizontal="left" vertical="center"/>
    </xf>
    <xf numFmtId="168" fontId="2" fillId="0" borderId="16" xfId="0" applyNumberFormat="1" applyFont="1" applyBorder="1"/>
    <xf numFmtId="3" fontId="1" fillId="0" borderId="7" xfId="0" applyNumberFormat="1" applyFont="1" applyBorder="1"/>
    <xf numFmtId="168" fontId="1" fillId="0" borderId="23" xfId="0" applyNumberFormat="1" applyFont="1" applyBorder="1" applyAlignment="1">
      <alignment vertical="center"/>
    </xf>
    <xf numFmtId="168" fontId="1" fillId="0" borderId="7" xfId="0" applyNumberFormat="1" applyFont="1" applyBorder="1" applyAlignment="1">
      <alignment vertical="center"/>
    </xf>
    <xf numFmtId="167" fontId="1" fillId="0" borderId="23" xfId="0" applyNumberFormat="1" applyFont="1" applyBorder="1" applyAlignment="1">
      <alignment vertical="center"/>
    </xf>
    <xf numFmtId="164" fontId="1" fillId="0" borderId="11" xfId="0" applyNumberFormat="1" applyFont="1" applyBorder="1" applyAlignment="1">
      <alignment horizontal="right" vertical="center"/>
    </xf>
    <xf numFmtId="164" fontId="1" fillId="0" borderId="7" xfId="0" applyNumberFormat="1" applyFont="1" applyBorder="1" applyAlignment="1">
      <alignment vertical="center"/>
    </xf>
    <xf numFmtId="0" fontId="1" fillId="0" borderId="25" xfId="0" applyFont="1" applyBorder="1" applyAlignment="1">
      <alignment horizontal="center"/>
    </xf>
    <xf numFmtId="0" fontId="1" fillId="0" borderId="42" xfId="0" applyFont="1" applyBorder="1" applyAlignment="1">
      <alignment horizontal="center" vertical="center"/>
    </xf>
    <xf numFmtId="0" fontId="2" fillId="0" borderId="17" xfId="0" applyFont="1" applyBorder="1"/>
    <xf numFmtId="164" fontId="2" fillId="0" borderId="16" xfId="0" applyNumberFormat="1" applyFont="1" applyBorder="1"/>
    <xf numFmtId="0" fontId="1" fillId="0" borderId="23" xfId="0" applyFont="1" applyBorder="1"/>
    <xf numFmtId="3" fontId="1" fillId="0" borderId="68" xfId="0" applyNumberFormat="1" applyFont="1" applyBorder="1" applyAlignment="1">
      <alignment vertical="center"/>
    </xf>
    <xf numFmtId="11" fontId="1" fillId="0" borderId="23" xfId="0" applyNumberFormat="1" applyFont="1" applyBorder="1" applyAlignment="1">
      <alignment vertical="center"/>
    </xf>
    <xf numFmtId="3" fontId="1" fillId="0" borderId="23" xfId="0" applyNumberFormat="1" applyFont="1" applyBorder="1" applyAlignment="1">
      <alignment vertical="center"/>
    </xf>
    <xf numFmtId="0" fontId="1" fillId="0" borderId="22" xfId="0" applyFont="1" applyBorder="1" applyAlignment="1">
      <alignment horizontal="left" vertical="center"/>
    </xf>
    <xf numFmtId="3" fontId="2" fillId="0" borderId="32" xfId="0" applyNumberFormat="1" applyFont="1" applyBorder="1"/>
    <xf numFmtId="3" fontId="2" fillId="0" borderId="16" xfId="0" applyNumberFormat="1" applyFont="1" applyBorder="1"/>
    <xf numFmtId="0" fontId="1" fillId="0" borderId="25" xfId="0" applyFont="1" applyBorder="1"/>
    <xf numFmtId="11" fontId="1" fillId="0" borderId="25" xfId="0" applyNumberFormat="1" applyFont="1" applyBorder="1" applyAlignment="1">
      <alignment vertical="center"/>
    </xf>
    <xf numFmtId="164" fontId="1" fillId="0" borderId="25" xfId="0" applyNumberFormat="1" applyFont="1" applyBorder="1" applyAlignment="1">
      <alignment vertical="center"/>
    </xf>
    <xf numFmtId="4" fontId="1" fillId="0" borderId="11" xfId="0" applyNumberFormat="1" applyFont="1" applyBorder="1" applyAlignment="1">
      <alignment vertical="center"/>
    </xf>
    <xf numFmtId="0" fontId="1" fillId="0" borderId="9" xfId="0" applyFont="1" applyBorder="1" applyAlignment="1">
      <alignment wrapText="1"/>
    </xf>
    <xf numFmtId="0" fontId="21" fillId="0" borderId="0" xfId="0" applyFont="1" applyAlignment="1">
      <alignment horizontal="left"/>
    </xf>
    <xf numFmtId="0" fontId="8" fillId="0" borderId="11" xfId="0" applyFont="1" applyBorder="1" applyAlignment="1">
      <alignment vertical="center" wrapText="1"/>
    </xf>
    <xf numFmtId="0" fontId="1" fillId="0" borderId="9" xfId="0" applyFont="1" applyBorder="1" applyAlignment="1">
      <alignment vertical="center" wrapText="1"/>
    </xf>
    <xf numFmtId="0" fontId="21" fillId="0" borderId="0" xfId="0" applyFont="1" applyAlignment="1">
      <alignment horizontal="left" vertical="center"/>
    </xf>
    <xf numFmtId="0" fontId="21" fillId="0" borderId="0" xfId="0" applyFont="1"/>
    <xf numFmtId="0" fontId="23" fillId="0" borderId="0" xfId="7" applyFont="1" applyAlignment="1">
      <alignment vertical="center"/>
    </xf>
    <xf numFmtId="0" fontId="28" fillId="3" borderId="52" xfId="0" applyFont="1" applyFill="1" applyBorder="1" applyAlignment="1">
      <alignment horizontal="center" vertical="center"/>
    </xf>
    <xf numFmtId="0" fontId="20" fillId="0" borderId="11" xfId="0" applyFont="1" applyBorder="1"/>
    <xf numFmtId="0" fontId="20" fillId="0" borderId="9" xfId="0" applyFont="1" applyBorder="1"/>
    <xf numFmtId="168" fontId="20" fillId="0" borderId="22" xfId="0" applyNumberFormat="1" applyFont="1" applyBorder="1" applyAlignment="1">
      <alignment vertical="center"/>
    </xf>
    <xf numFmtId="0" fontId="20" fillId="0" borderId="18" xfId="0" applyFont="1" applyBorder="1" applyAlignment="1">
      <alignment horizontal="left"/>
    </xf>
    <xf numFmtId="164" fontId="28" fillId="0" borderId="32" xfId="0" applyNumberFormat="1" applyFont="1" applyBorder="1"/>
    <xf numFmtId="0" fontId="28" fillId="0" borderId="21" xfId="0" applyFont="1" applyBorder="1"/>
    <xf numFmtId="168" fontId="28" fillId="0" borderId="32" xfId="0" applyNumberFormat="1" applyFont="1" applyBorder="1"/>
    <xf numFmtId="0" fontId="28" fillId="0" borderId="24" xfId="0" applyFont="1" applyBorder="1"/>
    <xf numFmtId="168" fontId="20" fillId="0" borderId="11" xfId="0" applyNumberFormat="1" applyFont="1" applyBorder="1" applyAlignment="1">
      <alignment vertical="center"/>
    </xf>
    <xf numFmtId="0" fontId="20" fillId="0" borderId="9" xfId="0" applyFont="1" applyBorder="1" applyAlignment="1">
      <alignment vertical="center"/>
    </xf>
    <xf numFmtId="0" fontId="20" fillId="0" borderId="9" xfId="0" applyFont="1" applyBorder="1" applyAlignment="1">
      <alignment horizontal="left" vertical="center"/>
    </xf>
    <xf numFmtId="168" fontId="28" fillId="0" borderId="16" xfId="0" applyNumberFormat="1" applyFont="1" applyBorder="1"/>
    <xf numFmtId="0" fontId="20" fillId="0" borderId="18" xfId="0" applyFont="1" applyBorder="1" applyAlignment="1">
      <alignment vertical="center"/>
    </xf>
    <xf numFmtId="1" fontId="20" fillId="0" borderId="22" xfId="0" applyNumberFormat="1" applyFont="1" applyBorder="1" applyAlignment="1">
      <alignment vertical="center"/>
    </xf>
    <xf numFmtId="168" fontId="32" fillId="0" borderId="10" xfId="0" applyNumberFormat="1" applyFont="1" applyBorder="1" applyAlignment="1">
      <alignment horizontal="center" vertical="center"/>
    </xf>
    <xf numFmtId="168" fontId="20" fillId="0" borderId="10" xfId="0" applyNumberFormat="1" applyFont="1" applyBorder="1" applyAlignment="1">
      <alignment horizontal="center" vertical="center"/>
    </xf>
    <xf numFmtId="168" fontId="28" fillId="0" borderId="10" xfId="0" applyNumberFormat="1" applyFont="1" applyBorder="1" applyAlignment="1">
      <alignment horizontal="center" vertical="center"/>
    </xf>
    <xf numFmtId="0" fontId="20" fillId="0" borderId="10" xfId="0" applyFont="1" applyBorder="1" applyAlignment="1">
      <alignment horizontal="center" vertical="center"/>
    </xf>
    <xf numFmtId="168" fontId="28" fillId="0" borderId="14" xfId="0" applyNumberFormat="1"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3" fillId="0" borderId="63" xfId="0" applyFont="1" applyBorder="1" applyAlignment="1">
      <alignment horizontal="center" vertical="center"/>
    </xf>
    <xf numFmtId="0" fontId="13" fillId="0" borderId="64" xfId="0" applyFont="1" applyBorder="1" applyAlignment="1">
      <alignment horizontal="center" vertical="center"/>
    </xf>
    <xf numFmtId="0" fontId="13" fillId="0" borderId="56" xfId="0" applyFont="1" applyBorder="1" applyAlignment="1">
      <alignment horizontal="center" vertical="center"/>
    </xf>
    <xf numFmtId="0" fontId="2" fillId="3" borderId="45"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44" xfId="0" applyFont="1" applyFill="1" applyBorder="1" applyAlignment="1">
      <alignment horizontal="center" vertical="center"/>
    </xf>
    <xf numFmtId="0" fontId="2" fillId="3" borderId="58" xfId="0" applyFont="1" applyFill="1" applyBorder="1" applyAlignment="1">
      <alignment horizontal="center" vertical="center"/>
    </xf>
    <xf numFmtId="0" fontId="2" fillId="3" borderId="46" xfId="0" applyFont="1" applyFill="1" applyBorder="1" applyAlignment="1">
      <alignment horizontal="center" vertical="center"/>
    </xf>
    <xf numFmtId="0" fontId="2" fillId="0" borderId="8" xfId="0" applyFont="1" applyBorder="1" applyAlignment="1">
      <alignment horizontal="right" vertical="center"/>
    </xf>
    <xf numFmtId="0" fontId="2" fillId="0" borderId="10" xfId="0" applyFont="1" applyBorder="1" applyAlignment="1">
      <alignment horizontal="right" vertical="center"/>
    </xf>
    <xf numFmtId="0" fontId="13" fillId="0" borderId="12" xfId="0" applyFont="1" applyBorder="1" applyAlignment="1">
      <alignment horizontal="center" vertical="center"/>
    </xf>
    <xf numFmtId="0" fontId="13" fillId="0" borderId="14" xfId="0" applyFont="1" applyBorder="1" applyAlignment="1">
      <alignment horizontal="center" vertical="center"/>
    </xf>
    <xf numFmtId="0" fontId="13" fillId="0" borderId="42" xfId="0" applyFont="1" applyBorder="1" applyAlignment="1">
      <alignment horizontal="center" vertical="center"/>
    </xf>
    <xf numFmtId="0" fontId="13" fillId="0" borderId="22" xfId="0" applyFont="1" applyBorder="1" applyAlignment="1">
      <alignment horizontal="center" vertical="center"/>
    </xf>
    <xf numFmtId="0" fontId="13" fillId="0" borderId="18" xfId="0" applyFont="1" applyBorder="1" applyAlignment="1">
      <alignment horizontal="center" vertical="center"/>
    </xf>
    <xf numFmtId="0" fontId="12" fillId="0" borderId="42" xfId="0" applyFont="1" applyBorder="1" applyAlignment="1">
      <alignment horizontal="right" vertical="center"/>
    </xf>
    <xf numFmtId="0" fontId="12" fillId="0" borderId="9" xfId="0" applyFont="1" applyBorder="1" applyAlignment="1">
      <alignment horizontal="right" vertical="center"/>
    </xf>
    <xf numFmtId="168" fontId="1" fillId="0" borderId="35" xfId="0" applyNumberFormat="1" applyFont="1" applyBorder="1" applyAlignment="1">
      <alignment horizontal="center" vertical="center"/>
    </xf>
    <xf numFmtId="168" fontId="1" fillId="0" borderId="6" xfId="0" applyNumberFormat="1" applyFont="1" applyBorder="1" applyAlignment="1">
      <alignment horizontal="center" vertical="center"/>
    </xf>
    <xf numFmtId="168" fontId="1" fillId="0" borderId="70" xfId="0" applyNumberFormat="1" applyFont="1" applyBorder="1" applyAlignment="1">
      <alignment horizontal="center" vertical="center"/>
    </xf>
    <xf numFmtId="168" fontId="1" fillId="0" borderId="49" xfId="0" applyNumberFormat="1" applyFont="1" applyBorder="1" applyAlignment="1">
      <alignment horizontal="center" vertical="center"/>
    </xf>
    <xf numFmtId="0" fontId="2" fillId="0" borderId="12" xfId="0" applyFont="1" applyBorder="1" applyAlignment="1">
      <alignment horizontal="right" vertical="center"/>
    </xf>
    <xf numFmtId="0" fontId="2" fillId="0" borderId="14" xfId="0" applyFont="1" applyBorder="1" applyAlignment="1">
      <alignment horizontal="right" vertical="center"/>
    </xf>
    <xf numFmtId="167" fontId="1" fillId="0" borderId="70" xfId="0" applyNumberFormat="1" applyFont="1" applyBorder="1" applyAlignment="1">
      <alignment horizontal="center" vertical="center"/>
    </xf>
    <xf numFmtId="167" fontId="1" fillId="0" borderId="49" xfId="0" applyNumberFormat="1" applyFont="1" applyBorder="1" applyAlignment="1">
      <alignment horizontal="center" vertical="center"/>
    </xf>
    <xf numFmtId="168" fontId="20" fillId="0" borderId="35" xfId="0" applyNumberFormat="1" applyFont="1" applyBorder="1" applyAlignment="1">
      <alignment horizontal="center" vertical="center"/>
    </xf>
    <xf numFmtId="168" fontId="20" fillId="0" borderId="6" xfId="0" applyNumberFormat="1" applyFont="1" applyBorder="1" applyAlignment="1">
      <alignment horizontal="center" vertical="center"/>
    </xf>
    <xf numFmtId="3" fontId="1" fillId="0" borderId="35" xfId="0" applyNumberFormat="1" applyFont="1" applyBorder="1" applyAlignment="1">
      <alignment horizontal="center" vertical="center"/>
    </xf>
    <xf numFmtId="3" fontId="1" fillId="0" borderId="6" xfId="0" applyNumberFormat="1" applyFont="1" applyBorder="1" applyAlignment="1">
      <alignment horizontal="center"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2" fillId="0" borderId="32" xfId="0" applyFont="1" applyBorder="1" applyAlignment="1">
      <alignment horizontal="center" vertical="center"/>
    </xf>
    <xf numFmtId="0" fontId="2" fillId="0" borderId="24" xfId="0" applyFont="1" applyBorder="1" applyAlignment="1">
      <alignment horizontal="center" vertical="center"/>
    </xf>
    <xf numFmtId="168" fontId="2" fillId="0" borderId="15" xfId="0" applyNumberFormat="1" applyFont="1" applyBorder="1" applyAlignment="1">
      <alignment horizontal="center" vertical="center"/>
    </xf>
    <xf numFmtId="168" fontId="2" fillId="0" borderId="25" xfId="0" applyNumberFormat="1" applyFont="1" applyBorder="1" applyAlignment="1">
      <alignment horizontal="center" vertical="center"/>
    </xf>
    <xf numFmtId="168" fontId="2" fillId="0" borderId="19" xfId="0" applyNumberFormat="1" applyFont="1" applyBorder="1" applyAlignment="1">
      <alignment horizontal="center" vertical="center"/>
    </xf>
    <xf numFmtId="167" fontId="1" fillId="0" borderId="35" xfId="0" applyNumberFormat="1" applyFont="1" applyBorder="1" applyAlignment="1">
      <alignment horizontal="center" vertical="center"/>
    </xf>
    <xf numFmtId="167" fontId="1" fillId="0" borderId="6" xfId="0" applyNumberFormat="1" applyFont="1" applyBorder="1" applyAlignment="1">
      <alignment horizontal="center" vertical="center"/>
    </xf>
    <xf numFmtId="0" fontId="29" fillId="0" borderId="92" xfId="0" applyFont="1" applyBorder="1" applyAlignment="1">
      <alignment horizontal="center" vertical="center"/>
    </xf>
    <xf numFmtId="0" fontId="29" fillId="0" borderId="6" xfId="0" applyFont="1" applyBorder="1" applyAlignment="1">
      <alignment horizontal="center" vertical="center"/>
    </xf>
    <xf numFmtId="0" fontId="2" fillId="3" borderId="54" xfId="0" applyFont="1" applyFill="1" applyBorder="1" applyAlignment="1">
      <alignment horizontal="center" vertical="center" wrapText="1"/>
    </xf>
    <xf numFmtId="0" fontId="2" fillId="3" borderId="60" xfId="0" applyFont="1" applyFill="1" applyBorder="1" applyAlignment="1">
      <alignment horizontal="center" vertical="center" wrapText="1"/>
    </xf>
    <xf numFmtId="0" fontId="2" fillId="3" borderId="53" xfId="0" applyFont="1" applyFill="1" applyBorder="1" applyAlignment="1">
      <alignment horizontal="center" vertical="center"/>
    </xf>
    <xf numFmtId="0" fontId="2" fillId="0" borderId="0" xfId="0" applyFont="1" applyAlignment="1">
      <alignment horizontal="center"/>
    </xf>
    <xf numFmtId="0" fontId="2" fillId="3" borderId="77" xfId="0" applyFont="1" applyFill="1" applyBorder="1" applyAlignment="1">
      <alignment horizontal="center" vertical="center"/>
    </xf>
    <xf numFmtId="0" fontId="2" fillId="3" borderId="67" xfId="0" applyFont="1" applyFill="1" applyBorder="1" applyAlignment="1">
      <alignment horizontal="center" vertical="center"/>
    </xf>
    <xf numFmtId="0" fontId="2" fillId="3" borderId="78"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54" xfId="0" applyFont="1" applyFill="1" applyBorder="1" applyAlignment="1">
      <alignment horizontal="center" vertical="center"/>
    </xf>
    <xf numFmtId="0" fontId="2" fillId="3" borderId="60" xfId="0" applyFont="1" applyFill="1" applyBorder="1" applyAlignment="1">
      <alignment horizontal="center" vertical="center"/>
    </xf>
    <xf numFmtId="0" fontId="2" fillId="3" borderId="87"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xf numFmtId="0" fontId="1" fillId="0" borderId="14" xfId="0" applyFont="1" applyBorder="1" applyAlignment="1">
      <alignment horizontal="center" vertical="center"/>
    </xf>
    <xf numFmtId="0" fontId="1" fillId="0" borderId="35" xfId="0" applyFont="1" applyBorder="1" applyAlignment="1">
      <alignment horizontal="center" vertical="center"/>
    </xf>
    <xf numFmtId="0" fontId="1" fillId="0" borderId="28" xfId="0" applyFont="1" applyBorder="1" applyAlignment="1">
      <alignment horizontal="center" vertical="center"/>
    </xf>
    <xf numFmtId="0" fontId="2" fillId="2" borderId="3" xfId="0" applyFont="1" applyFill="1" applyBorder="1" applyAlignment="1">
      <alignment horizontal="center" vertical="center"/>
    </xf>
    <xf numFmtId="3" fontId="1" fillId="0" borderId="11" xfId="0" applyNumberFormat="1" applyFont="1" applyBorder="1" applyAlignment="1">
      <alignment horizontal="right" vertical="center"/>
    </xf>
    <xf numFmtId="3" fontId="1" fillId="0" borderId="15" xfId="0" applyNumberFormat="1" applyFont="1" applyBorder="1" applyAlignment="1">
      <alignment horizontal="right" vertical="center"/>
    </xf>
    <xf numFmtId="0" fontId="1" fillId="0" borderId="9" xfId="0" applyFont="1" applyBorder="1" applyAlignment="1">
      <alignment horizontal="left" vertical="center"/>
    </xf>
    <xf numFmtId="0" fontId="1" fillId="0" borderId="13" xfId="0" applyFont="1" applyBorder="1" applyAlignment="1">
      <alignment horizontal="left" vertical="center"/>
    </xf>
    <xf numFmtId="3" fontId="8" fillId="0" borderId="11" xfId="4" applyNumberFormat="1" applyFont="1" applyBorder="1" applyAlignment="1">
      <alignment horizontal="right" vertical="center"/>
    </xf>
    <xf numFmtId="0" fontId="1" fillId="0" borderId="18" xfId="0" applyFont="1" applyBorder="1" applyAlignment="1">
      <alignment horizontal="left" vertical="center" wrapText="1"/>
    </xf>
    <xf numFmtId="168" fontId="1" fillId="0" borderId="11" xfId="0" applyNumberFormat="1" applyFont="1" applyBorder="1" applyAlignment="1">
      <alignment horizontal="right" vertical="center"/>
    </xf>
    <xf numFmtId="0" fontId="1" fillId="0" borderId="9" xfId="0" applyFont="1" applyBorder="1" applyAlignment="1">
      <alignment horizontal="left" vertical="center" wrapText="1"/>
    </xf>
    <xf numFmtId="0" fontId="8" fillId="0" borderId="11" xfId="0" applyFont="1" applyBorder="1" applyAlignment="1">
      <alignment horizontal="right" vertical="center"/>
    </xf>
    <xf numFmtId="0" fontId="10" fillId="0" borderId="0" xfId="0" applyFont="1" applyAlignment="1">
      <alignment horizontal="left" vertical="center" wrapText="1"/>
    </xf>
    <xf numFmtId="0" fontId="1" fillId="0" borderId="11" xfId="0" applyFont="1" applyBorder="1" applyAlignment="1">
      <alignment horizontal="right" vertical="center"/>
    </xf>
    <xf numFmtId="0" fontId="1" fillId="0" borderId="15" xfId="0" applyFont="1" applyBorder="1" applyAlignment="1">
      <alignment horizontal="right" vertical="center"/>
    </xf>
    <xf numFmtId="0" fontId="1" fillId="0" borderId="15" xfId="0" applyFont="1" applyBorder="1" applyAlignment="1">
      <alignment horizontal="center"/>
    </xf>
    <xf numFmtId="0" fontId="1" fillId="0" borderId="13" xfId="0" applyFont="1" applyBorder="1" applyAlignment="1">
      <alignment horizontal="center"/>
    </xf>
    <xf numFmtId="0" fontId="2" fillId="2" borderId="26"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1" fillId="0" borderId="6" xfId="0" applyFont="1" applyBorder="1" applyAlignment="1">
      <alignment horizontal="center" vertical="center"/>
    </xf>
    <xf numFmtId="0" fontId="1" fillId="0" borderId="31" xfId="0" applyFont="1" applyBorder="1" applyAlignment="1">
      <alignment horizontal="right" vertical="center"/>
    </xf>
    <xf numFmtId="0" fontId="1" fillId="0" borderId="7" xfId="0" applyFont="1" applyBorder="1" applyAlignment="1">
      <alignment horizontal="right" vertical="center"/>
    </xf>
    <xf numFmtId="0" fontId="1" fillId="0" borderId="36" xfId="0" applyFont="1" applyBorder="1" applyAlignment="1">
      <alignment horizontal="left" vertical="center"/>
    </xf>
    <xf numFmtId="0" fontId="1" fillId="0" borderId="5" xfId="0" applyFont="1" applyBorder="1" applyAlignment="1">
      <alignment horizontal="left" vertical="center"/>
    </xf>
    <xf numFmtId="0" fontId="1" fillId="0" borderId="31" xfId="0" applyFont="1" applyBorder="1" applyAlignment="1">
      <alignment horizontal="center" vertical="center"/>
    </xf>
    <xf numFmtId="0" fontId="1" fillId="0" borderId="7" xfId="0" applyFont="1" applyBorder="1" applyAlignment="1">
      <alignment horizontal="center" vertical="center"/>
    </xf>
    <xf numFmtId="168" fontId="8" fillId="0" borderId="31" xfId="0" applyNumberFormat="1" applyFont="1" applyBorder="1" applyAlignment="1">
      <alignment horizontal="right" vertical="center"/>
    </xf>
    <xf numFmtId="168" fontId="8" fillId="0" borderId="7" xfId="0" applyNumberFormat="1" applyFont="1" applyBorder="1" applyAlignment="1">
      <alignment horizontal="right" vertical="center"/>
    </xf>
    <xf numFmtId="0" fontId="2" fillId="2" borderId="27"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7" xfId="0" applyFont="1" applyFill="1" applyBorder="1" applyAlignment="1">
      <alignment horizontal="center" vertical="center" wrapText="1"/>
    </xf>
    <xf numFmtId="3" fontId="1" fillId="0" borderId="31" xfId="0" applyNumberFormat="1" applyFont="1" applyBorder="1" applyAlignment="1">
      <alignment horizontal="right" vertical="center"/>
    </xf>
    <xf numFmtId="3" fontId="1" fillId="0" borderId="7" xfId="0" applyNumberFormat="1" applyFont="1" applyBorder="1" applyAlignment="1">
      <alignment horizontal="right" vertical="center"/>
    </xf>
    <xf numFmtId="0" fontId="1" fillId="0" borderId="33" xfId="0" applyFont="1" applyBorder="1" applyAlignment="1">
      <alignment horizontal="center" vertical="center"/>
    </xf>
    <xf numFmtId="0" fontId="1" fillId="0" borderId="68" xfId="0" applyFont="1" applyBorder="1" applyAlignment="1">
      <alignment horizontal="center" vertical="center"/>
    </xf>
    <xf numFmtId="0" fontId="1" fillId="0" borderId="35" xfId="0" applyFont="1" applyBorder="1" applyAlignment="1">
      <alignment horizontal="center" vertical="center" wrapText="1"/>
    </xf>
    <xf numFmtId="0" fontId="1" fillId="0" borderId="6" xfId="0" applyFont="1" applyBorder="1" applyAlignment="1">
      <alignment horizontal="center" vertical="center" wrapText="1"/>
    </xf>
    <xf numFmtId="168" fontId="1" fillId="0" borderId="30" xfId="0" applyNumberFormat="1" applyFont="1" applyBorder="1" applyAlignment="1">
      <alignment horizontal="right" vertical="center"/>
    </xf>
    <xf numFmtId="168" fontId="1" fillId="0" borderId="23" xfId="0" applyNumberFormat="1" applyFont="1" applyBorder="1" applyAlignment="1">
      <alignment horizontal="right" vertical="center"/>
    </xf>
    <xf numFmtId="0" fontId="1" fillId="0" borderId="34" xfId="0" applyFont="1" applyBorder="1" applyAlignment="1">
      <alignment horizontal="left" vertical="center"/>
    </xf>
    <xf numFmtId="0" fontId="1" fillId="0" borderId="20" xfId="0" applyFont="1" applyBorder="1" applyAlignment="1">
      <alignment horizontal="left" vertical="center"/>
    </xf>
    <xf numFmtId="164" fontId="1" fillId="0" borderId="31" xfId="0" applyNumberFormat="1" applyFont="1" applyBorder="1" applyAlignment="1">
      <alignment horizontal="right" vertical="center"/>
    </xf>
    <xf numFmtId="164" fontId="1" fillId="0" borderId="7" xfId="0" applyNumberFormat="1" applyFont="1" applyBorder="1" applyAlignment="1">
      <alignment horizontal="right" vertical="center"/>
    </xf>
    <xf numFmtId="0" fontId="1" fillId="0" borderId="36" xfId="0" applyFont="1" applyBorder="1" applyAlignment="1">
      <alignment horizontal="left" vertical="center" wrapText="1"/>
    </xf>
    <xf numFmtId="0" fontId="1" fillId="0" borderId="5" xfId="0" applyFont="1" applyBorder="1" applyAlignment="1">
      <alignment horizontal="left" vertical="center" wrapText="1"/>
    </xf>
    <xf numFmtId="168" fontId="1" fillId="0" borderId="31" xfId="0" applyNumberFormat="1" applyFont="1" applyBorder="1" applyAlignment="1">
      <alignment horizontal="right" vertical="center"/>
    </xf>
    <xf numFmtId="168" fontId="1" fillId="0" borderId="7" xfId="0" applyNumberFormat="1" applyFont="1" applyBorder="1" applyAlignment="1">
      <alignment horizontal="right" vertical="center"/>
    </xf>
    <xf numFmtId="0" fontId="1" fillId="0" borderId="30" xfId="0" applyFont="1" applyBorder="1" applyAlignment="1">
      <alignment horizontal="left" vertical="center"/>
    </xf>
    <xf numFmtId="0" fontId="1" fillId="0" borderId="23" xfId="0" applyFont="1" applyBorder="1" applyAlignment="1">
      <alignment horizontal="left" vertical="center"/>
    </xf>
    <xf numFmtId="165" fontId="1" fillId="0" borderId="31" xfId="0" applyNumberFormat="1" applyFont="1" applyBorder="1" applyAlignment="1">
      <alignment horizontal="right" vertical="center"/>
    </xf>
    <xf numFmtId="165" fontId="1" fillId="0" borderId="7" xfId="0" applyNumberFormat="1" applyFont="1" applyBorder="1" applyAlignment="1">
      <alignment horizontal="right" vertical="center"/>
    </xf>
    <xf numFmtId="0" fontId="2" fillId="2" borderId="59"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61" xfId="0" applyFont="1" applyFill="1" applyBorder="1" applyAlignment="1">
      <alignment horizontal="center" vertical="center" wrapText="1"/>
    </xf>
    <xf numFmtId="0" fontId="8" fillId="0" borderId="31" xfId="0" applyFont="1" applyBorder="1" applyAlignment="1">
      <alignment horizontal="right" vertical="center"/>
    </xf>
    <xf numFmtId="0" fontId="8" fillId="0" borderId="7" xfId="0" applyFont="1" applyBorder="1" applyAlignment="1">
      <alignment horizontal="right" vertical="center"/>
    </xf>
    <xf numFmtId="0" fontId="20" fillId="0" borderId="36" xfId="0" applyFont="1" applyBorder="1" applyAlignment="1">
      <alignment horizontal="left" vertical="center"/>
    </xf>
    <xf numFmtId="0" fontId="20" fillId="0" borderId="5" xfId="0" applyFont="1" applyBorder="1" applyAlignment="1">
      <alignment horizontal="left" vertical="center"/>
    </xf>
    <xf numFmtId="168" fontId="20" fillId="0" borderId="30" xfId="0" applyNumberFormat="1" applyFont="1" applyBorder="1" applyAlignment="1">
      <alignment horizontal="right" vertical="center"/>
    </xf>
    <xf numFmtId="168" fontId="20" fillId="0" borderId="23" xfId="0" applyNumberFormat="1" applyFont="1" applyBorder="1" applyAlignment="1">
      <alignment horizontal="right" vertical="center"/>
    </xf>
    <xf numFmtId="0" fontId="20" fillId="0" borderId="31" xfId="0" applyFont="1" applyBorder="1" applyAlignment="1">
      <alignment horizontal="right" vertical="center"/>
    </xf>
    <xf numFmtId="0" fontId="20" fillId="0" borderId="7" xfId="0" applyFont="1" applyBorder="1" applyAlignment="1">
      <alignment horizontal="right" vertical="center"/>
    </xf>
    <xf numFmtId="0" fontId="20" fillId="0" borderId="34" xfId="0" applyFont="1" applyBorder="1" applyAlignment="1">
      <alignment horizontal="left" vertical="center"/>
    </xf>
    <xf numFmtId="0" fontId="20" fillId="0" borderId="20" xfId="0" applyFont="1" applyBorder="1" applyAlignment="1">
      <alignment horizontal="left" vertical="center"/>
    </xf>
    <xf numFmtId="168" fontId="20" fillId="0" borderId="31" xfId="0" applyNumberFormat="1" applyFont="1" applyBorder="1" applyAlignment="1">
      <alignment horizontal="right" vertical="center"/>
    </xf>
    <xf numFmtId="168" fontId="20" fillId="0" borderId="7" xfId="0" applyNumberFormat="1" applyFont="1" applyBorder="1" applyAlignment="1">
      <alignment horizontal="right" vertical="center"/>
    </xf>
    <xf numFmtId="168" fontId="20" fillId="0" borderId="69" xfId="0" applyNumberFormat="1" applyFont="1" applyBorder="1" applyAlignment="1">
      <alignment vertical="center"/>
    </xf>
    <xf numFmtId="0" fontId="29" fillId="0" borderId="89" xfId="0" applyFont="1" applyBorder="1" applyAlignment="1">
      <alignment vertical="center"/>
    </xf>
    <xf numFmtId="0" fontId="29" fillId="0" borderId="7" xfId="0" applyFont="1" applyBorder="1" applyAlignment="1">
      <alignment vertical="center"/>
    </xf>
    <xf numFmtId="0" fontId="20" fillId="0" borderId="90" xfId="0" applyFont="1" applyBorder="1" applyAlignment="1">
      <alignment vertical="center"/>
    </xf>
    <xf numFmtId="0" fontId="29" fillId="0" borderId="91" xfId="0" applyFont="1" applyBorder="1" applyAlignment="1">
      <alignment vertical="center"/>
    </xf>
    <xf numFmtId="0" fontId="29" fillId="0" borderId="5" xfId="0" applyFont="1" applyBorder="1" applyAlignment="1">
      <alignment vertical="center"/>
    </xf>
    <xf numFmtId="0" fontId="2" fillId="2" borderId="26" xfId="0" applyFont="1" applyFill="1" applyBorder="1" applyAlignment="1">
      <alignment horizontal="center" vertical="center"/>
    </xf>
    <xf numFmtId="0" fontId="1" fillId="0" borderId="30" xfId="0" applyFont="1" applyBorder="1" applyAlignment="1">
      <alignment horizontal="left" vertical="center" wrapText="1"/>
    </xf>
    <xf numFmtId="0" fontId="1" fillId="0" borderId="23" xfId="0" applyFont="1" applyBorder="1" applyAlignment="1">
      <alignment horizontal="left" vertical="center" wrapText="1"/>
    </xf>
    <xf numFmtId="11" fontId="1" fillId="0" borderId="31" xfId="0" applyNumberFormat="1" applyFont="1" applyBorder="1" applyAlignment="1">
      <alignment horizontal="right" vertical="center"/>
    </xf>
    <xf numFmtId="11" fontId="1" fillId="0" borderId="7" xfId="0" applyNumberFormat="1" applyFont="1" applyBorder="1" applyAlignment="1">
      <alignment horizontal="right" vertical="center"/>
    </xf>
    <xf numFmtId="0" fontId="1" fillId="0" borderId="34" xfId="0" applyFont="1" applyBorder="1" applyAlignment="1">
      <alignment horizontal="left" vertical="center" wrapText="1"/>
    </xf>
    <xf numFmtId="0" fontId="1" fillId="0" borderId="20" xfId="0" applyFont="1" applyBorder="1" applyAlignment="1">
      <alignment horizontal="left" vertical="center" wrapText="1"/>
    </xf>
    <xf numFmtId="3" fontId="1" fillId="0" borderId="33" xfId="0" applyNumberFormat="1" applyFont="1" applyBorder="1" applyAlignment="1">
      <alignment horizontal="right" vertical="center"/>
    </xf>
    <xf numFmtId="3" fontId="1" fillId="0" borderId="68" xfId="0" applyNumberFormat="1" applyFont="1" applyBorder="1" applyAlignment="1">
      <alignment horizontal="right" vertical="center"/>
    </xf>
    <xf numFmtId="0" fontId="2" fillId="2" borderId="73"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3" fillId="0" borderId="0" xfId="0" applyFont="1" applyAlignment="1">
      <alignment horizontal="center" vertical="center" wrapText="1"/>
    </xf>
    <xf numFmtId="0" fontId="21" fillId="0" borderId="0" xfId="0" applyFont="1" applyAlignment="1">
      <alignment horizontal="center" vertical="center"/>
    </xf>
    <xf numFmtId="0" fontId="23" fillId="0" borderId="0" xfId="0" applyFont="1" applyAlignment="1">
      <alignment horizontal="center" vertical="center"/>
    </xf>
    <xf numFmtId="0" fontId="2" fillId="3" borderId="57" xfId="0" applyFont="1" applyFill="1" applyBorder="1" applyAlignment="1">
      <alignment horizontal="center" vertical="center"/>
    </xf>
    <xf numFmtId="0" fontId="21" fillId="0" borderId="0" xfId="0" applyFont="1" applyAlignment="1">
      <alignment horizontal="center"/>
    </xf>
    <xf numFmtId="0" fontId="2" fillId="3" borderId="75" xfId="0" applyFont="1" applyFill="1" applyBorder="1" applyAlignment="1">
      <alignment horizontal="center" vertical="center" wrapText="1"/>
    </xf>
    <xf numFmtId="0" fontId="23" fillId="0" borderId="0" xfId="0" applyFont="1" applyAlignment="1">
      <alignment horizontal="center"/>
    </xf>
    <xf numFmtId="0" fontId="2" fillId="3" borderId="52" xfId="0" applyFont="1" applyFill="1" applyBorder="1" applyAlignment="1">
      <alignment horizontal="center"/>
    </xf>
    <xf numFmtId="0" fontId="2" fillId="3" borderId="53" xfId="0" applyFont="1" applyFill="1" applyBorder="1" applyAlignment="1">
      <alignment horizontal="center"/>
    </xf>
    <xf numFmtId="0" fontId="2" fillId="3" borderId="79" xfId="0" applyFont="1" applyFill="1" applyBorder="1" applyAlignment="1">
      <alignment horizontal="center" vertical="center"/>
    </xf>
    <xf numFmtId="0" fontId="2" fillId="3" borderId="51" xfId="0" applyFont="1" applyFill="1" applyBorder="1" applyAlignment="1">
      <alignment horizontal="center" vertical="center"/>
    </xf>
    <xf numFmtId="0" fontId="2" fillId="3" borderId="74" xfId="0" applyFont="1" applyFill="1" applyBorder="1" applyAlignment="1">
      <alignment horizontal="center" vertical="center" wrapText="1"/>
    </xf>
    <xf numFmtId="0" fontId="2" fillId="3" borderId="66" xfId="0" applyFont="1" applyFill="1" applyBorder="1" applyAlignment="1">
      <alignment horizontal="center" vertical="center"/>
    </xf>
    <xf numFmtId="0" fontId="2" fillId="3" borderId="80" xfId="0" applyFont="1" applyFill="1" applyBorder="1" applyAlignment="1">
      <alignment horizontal="center" vertical="center"/>
    </xf>
    <xf numFmtId="0" fontId="2" fillId="3" borderId="76" xfId="0" applyFont="1" applyFill="1" applyBorder="1" applyAlignment="1">
      <alignment horizontal="center" vertical="center"/>
    </xf>
    <xf numFmtId="0" fontId="2" fillId="3" borderId="81" xfId="0" applyFont="1" applyFill="1" applyBorder="1" applyAlignment="1">
      <alignment horizontal="center" vertical="center"/>
    </xf>
    <xf numFmtId="0" fontId="2" fillId="3" borderId="82" xfId="0" applyFont="1" applyFill="1" applyBorder="1" applyAlignment="1">
      <alignment horizontal="center" vertical="center"/>
    </xf>
    <xf numFmtId="0" fontId="2" fillId="3" borderId="52"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9" fillId="0" borderId="0" xfId="6" applyFont="1" applyAlignment="1">
      <alignment horizontal="center" vertical="center" wrapText="1" shrinkToFit="1"/>
    </xf>
    <xf numFmtId="0" fontId="25" fillId="0" borderId="0" xfId="6" applyFont="1" applyAlignment="1">
      <alignment horizontal="center" vertical="center" wrapText="1" shrinkToFit="1"/>
    </xf>
    <xf numFmtId="0" fontId="2" fillId="0" borderId="42" xfId="0" applyFont="1" applyBorder="1" applyAlignment="1">
      <alignment horizontal="center"/>
    </xf>
    <xf numFmtId="0" fontId="2" fillId="0" borderId="22" xfId="0" applyFont="1" applyBorder="1" applyAlignment="1">
      <alignment horizontal="center"/>
    </xf>
    <xf numFmtId="0" fontId="2" fillId="0" borderId="18" xfId="0" applyFont="1" applyBorder="1" applyAlignment="1">
      <alignment horizontal="center"/>
    </xf>
    <xf numFmtId="0" fontId="2" fillId="3" borderId="73" xfId="0" applyFont="1" applyFill="1" applyBorder="1" applyAlignment="1">
      <alignment horizontal="center"/>
    </xf>
    <xf numFmtId="0" fontId="2" fillId="3" borderId="27" xfId="0" applyFont="1" applyFill="1" applyBorder="1" applyAlignment="1">
      <alignment horizontal="center"/>
    </xf>
    <xf numFmtId="0" fontId="2" fillId="3" borderId="29" xfId="0" applyFont="1" applyFill="1" applyBorder="1" applyAlignment="1">
      <alignment horizontal="center"/>
    </xf>
    <xf numFmtId="0" fontId="2" fillId="0" borderId="63" xfId="0" applyFont="1" applyBorder="1" applyAlignment="1">
      <alignment horizontal="center"/>
    </xf>
    <xf numFmtId="0" fontId="2" fillId="0" borderId="64" xfId="0" applyFont="1" applyBorder="1" applyAlignment="1">
      <alignment horizontal="center"/>
    </xf>
    <xf numFmtId="0" fontId="2" fillId="0" borderId="56" xfId="0" applyFont="1" applyBorder="1" applyAlignment="1">
      <alignment horizontal="center"/>
    </xf>
    <xf numFmtId="0" fontId="9" fillId="0" borderId="42" xfId="0" applyFont="1" applyBorder="1" applyAlignment="1">
      <alignment horizontal="center" wrapText="1"/>
    </xf>
    <xf numFmtId="0" fontId="9" fillId="0" borderId="22" xfId="0" applyFont="1" applyBorder="1" applyAlignment="1">
      <alignment horizontal="center" wrapText="1"/>
    </xf>
    <xf numFmtId="0" fontId="9" fillId="0" borderId="18" xfId="0" applyFont="1" applyBorder="1" applyAlignment="1">
      <alignment horizontal="center" wrapText="1"/>
    </xf>
  </cellXfs>
  <cellStyles count="8">
    <cellStyle name="Comma" xfId="4" builtinId="3"/>
    <cellStyle name="Comma 2" xfId="1" xr:uid="{28FB8724-81BF-41E2-AC1E-11D0AFF4A27F}"/>
    <cellStyle name="Normal" xfId="0" builtinId="0"/>
    <cellStyle name="Normal 10" xfId="3" xr:uid="{903F2CA2-6417-4332-A053-6A4D80677A8A}"/>
    <cellStyle name="Normal 10 2" xfId="5" xr:uid="{17E1BF77-1C13-4A79-9975-99CEB74403CB}"/>
    <cellStyle name="Normal 2 2" xfId="2" xr:uid="{130428EA-03D9-4911-9542-1EE20CE9D4F2}"/>
    <cellStyle name="Normal 4" xfId="7" xr:uid="{D3B68FE3-A8B2-4C2B-A4D2-929EF06415C6}"/>
    <cellStyle name="Normal_MACT_Sent_4_04_00" xfId="6" xr:uid="{35903754-4902-44FE-A409-796776CC8A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A70FE-D8C0-4704-BAD1-5F2A4163193D}">
  <sheetPr>
    <pageSetUpPr fitToPage="1"/>
  </sheetPr>
  <dimension ref="A1:W101"/>
  <sheetViews>
    <sheetView view="pageBreakPreview" zoomScaleNormal="100" zoomScaleSheetLayoutView="100" workbookViewId="0">
      <selection sqref="A1:I1"/>
    </sheetView>
  </sheetViews>
  <sheetFormatPr defaultColWidth="9.140625" defaultRowHeight="12.75" x14ac:dyDescent="0.25"/>
  <cols>
    <col min="1" max="1" width="9.5703125" style="31" customWidth="1"/>
    <col min="2" max="2" width="35.140625" style="31" bestFit="1" customWidth="1"/>
    <col min="3" max="3" width="11.7109375" style="168" customWidth="1"/>
    <col min="4" max="4" width="11.5703125" style="150" customWidth="1"/>
    <col min="5" max="5" width="11.28515625" style="150" customWidth="1"/>
    <col min="6" max="6" width="11.42578125" style="150" customWidth="1"/>
    <col min="7" max="8" width="10.28515625" style="150" customWidth="1"/>
    <col min="9" max="9" width="11.85546875" style="150" customWidth="1"/>
    <col min="10" max="10" width="11.7109375" style="150" customWidth="1"/>
    <col min="11" max="11" width="12.140625" style="150" customWidth="1"/>
    <col min="12" max="12" width="9.5703125" style="150" customWidth="1"/>
    <col min="13" max="13" width="11.5703125" style="150" customWidth="1"/>
    <col min="14" max="14" width="8.7109375" style="31" customWidth="1"/>
    <col min="15" max="15" width="10.5703125" style="31" customWidth="1"/>
    <col min="16" max="16" width="11.140625" style="31" customWidth="1"/>
    <col min="17" max="17" width="10.42578125" style="31" customWidth="1"/>
    <col min="18" max="18" width="8.28515625" style="31" customWidth="1"/>
    <col min="19" max="19" width="11" style="31" customWidth="1"/>
    <col min="20" max="20" width="10" style="31" customWidth="1"/>
    <col min="21" max="21" width="11.28515625" style="150" customWidth="1"/>
    <col min="22" max="22" width="10.85546875" style="150" bestFit="1" customWidth="1"/>
    <col min="23" max="16384" width="9.140625" style="150"/>
  </cols>
  <sheetData>
    <row r="1" spans="1:23" ht="32.25" customHeight="1" x14ac:dyDescent="0.25">
      <c r="A1" s="472" t="s">
        <v>377</v>
      </c>
      <c r="B1" s="473"/>
      <c r="C1" s="473"/>
      <c r="D1" s="473"/>
      <c r="E1" s="473"/>
      <c r="F1" s="473"/>
      <c r="G1" s="473"/>
      <c r="H1" s="473"/>
      <c r="I1" s="473"/>
      <c r="J1" s="38"/>
      <c r="K1" s="38"/>
      <c r="L1" s="38"/>
      <c r="M1" s="38"/>
      <c r="N1" s="38"/>
      <c r="O1" s="38"/>
      <c r="P1" s="38"/>
      <c r="Q1" s="38"/>
      <c r="R1" s="38"/>
      <c r="S1" s="38"/>
      <c r="T1" s="38"/>
      <c r="U1" s="38"/>
      <c r="V1" s="38"/>
      <c r="W1" s="38"/>
    </row>
    <row r="2" spans="1:23" ht="17.100000000000001" customHeight="1" x14ac:dyDescent="0.25">
      <c r="A2" s="473" t="str">
        <f>Inventory!A2</f>
        <v>Hilcorp Alaska, LLC - Grayling Platform</v>
      </c>
      <c r="B2" s="473"/>
      <c r="C2" s="473"/>
      <c r="D2" s="473"/>
      <c r="E2" s="473"/>
      <c r="F2" s="473"/>
      <c r="G2" s="473"/>
      <c r="H2" s="473"/>
      <c r="I2" s="473"/>
      <c r="J2" s="38"/>
      <c r="K2" s="38"/>
      <c r="L2" s="38"/>
      <c r="M2" s="38"/>
      <c r="N2" s="38"/>
      <c r="O2" s="38"/>
      <c r="P2" s="38"/>
      <c r="Q2" s="38"/>
      <c r="R2" s="38"/>
      <c r="S2" s="38"/>
      <c r="T2" s="38"/>
      <c r="U2" s="38"/>
      <c r="V2" s="38"/>
      <c r="W2" s="38"/>
    </row>
    <row r="3" spans="1:23" ht="17.100000000000001" customHeight="1" thickBot="1" x14ac:dyDescent="0.3"/>
    <row r="4" spans="1:23" ht="17.100000000000001" customHeight="1" x14ac:dyDescent="0.25">
      <c r="A4" s="479" t="s">
        <v>0</v>
      </c>
      <c r="B4" s="477" t="s">
        <v>205</v>
      </c>
      <c r="C4" s="477" t="s">
        <v>227</v>
      </c>
      <c r="D4" s="477"/>
      <c r="E4" s="477"/>
      <c r="F4" s="477"/>
      <c r="G4" s="477"/>
      <c r="H4" s="477"/>
      <c r="I4" s="481"/>
    </row>
    <row r="5" spans="1:23" ht="17.100000000000001" customHeight="1" thickBot="1" x14ac:dyDescent="0.3">
      <c r="A5" s="480"/>
      <c r="B5" s="478"/>
      <c r="C5" s="120" t="s">
        <v>53</v>
      </c>
      <c r="D5" s="120" t="s">
        <v>50</v>
      </c>
      <c r="E5" s="120" t="s">
        <v>54</v>
      </c>
      <c r="F5" s="120" t="s">
        <v>51</v>
      </c>
      <c r="G5" s="452" t="s">
        <v>375</v>
      </c>
      <c r="H5" s="120" t="s">
        <v>55</v>
      </c>
      <c r="I5" s="121" t="s">
        <v>52</v>
      </c>
    </row>
    <row r="6" spans="1:23" ht="17.100000000000001" customHeight="1" thickTop="1" x14ac:dyDescent="0.25">
      <c r="A6" s="474" t="s">
        <v>206</v>
      </c>
      <c r="B6" s="475"/>
      <c r="C6" s="475"/>
      <c r="D6" s="475"/>
      <c r="E6" s="475"/>
      <c r="F6" s="475"/>
      <c r="G6" s="475"/>
      <c r="H6" s="475"/>
      <c r="I6" s="476"/>
    </row>
    <row r="7" spans="1:23" ht="17.100000000000001" customHeight="1" x14ac:dyDescent="0.25">
      <c r="A7" s="123">
        <f>Inventory!A5</f>
        <v>1</v>
      </c>
      <c r="B7" s="125" t="str">
        <f>Inventory!B5</f>
        <v>Solar Centaur T4500</v>
      </c>
      <c r="C7" s="224">
        <f>NOx!O5</f>
        <v>53.944415367839987</v>
      </c>
      <c r="D7" s="224">
        <f>CO!O5</f>
        <v>6.57</v>
      </c>
      <c r="E7" s="224">
        <f>'PM-10'!O5</f>
        <v>1.1655705600000001</v>
      </c>
      <c r="F7" s="224">
        <f>VOC!O5</f>
        <v>0.37086335999999998</v>
      </c>
      <c r="G7" s="499">
        <f>'SO2'!O5</f>
        <v>98</v>
      </c>
      <c r="H7" s="211">
        <f>CO2e!R5</f>
        <v>20679.685393122203</v>
      </c>
      <c r="I7" s="228">
        <f>'Sig. HAPs Summary'!C18</f>
        <v>0.18142812172800002</v>
      </c>
    </row>
    <row r="8" spans="1:23" ht="17.100000000000001" customHeight="1" x14ac:dyDescent="0.25">
      <c r="A8" s="123">
        <f>Inventory!A6</f>
        <v>3</v>
      </c>
      <c r="B8" s="125" t="str">
        <f>Inventory!B6</f>
        <v>Solar Centaur T4500</v>
      </c>
      <c r="C8" s="224">
        <f>NOx!O6</f>
        <v>53.944415367839987</v>
      </c>
      <c r="D8" s="224">
        <f>CO!O6</f>
        <v>6.57</v>
      </c>
      <c r="E8" s="224">
        <f>'PM-10'!O6</f>
        <v>1.1655705600000001</v>
      </c>
      <c r="F8" s="224">
        <f>VOC!O6</f>
        <v>0.37086335999999998</v>
      </c>
      <c r="G8" s="512"/>
      <c r="H8" s="211">
        <f>CO2e!R6</f>
        <v>20679.685393122203</v>
      </c>
      <c r="I8" s="228">
        <f>I7</f>
        <v>0.18142812172800002</v>
      </c>
    </row>
    <row r="9" spans="1:23" ht="17.100000000000001" customHeight="1" x14ac:dyDescent="0.25">
      <c r="A9" s="123" t="str">
        <f>Inventory!A7</f>
        <v>4a</v>
      </c>
      <c r="B9" s="125" t="str">
        <f>Inventory!B7</f>
        <v>Solar Centaur T4500</v>
      </c>
      <c r="C9" s="224">
        <f>NOx!O7</f>
        <v>53.944415367839987</v>
      </c>
      <c r="D9" s="224">
        <f>CO!O7</f>
        <v>6.57</v>
      </c>
      <c r="E9" s="224">
        <f>'PM-10'!O7</f>
        <v>1.1655705600000001</v>
      </c>
      <c r="F9" s="224">
        <f>VOC!O7</f>
        <v>0.37086335999999998</v>
      </c>
      <c r="G9" s="512"/>
      <c r="H9" s="211">
        <f>CO2e!R7</f>
        <v>20679.685393122203</v>
      </c>
      <c r="I9" s="228">
        <f>I7</f>
        <v>0.18142812172800002</v>
      </c>
    </row>
    <row r="10" spans="1:23" ht="17.100000000000001" customHeight="1" x14ac:dyDescent="0.25">
      <c r="A10" s="123">
        <f>Inventory!A8</f>
        <v>14</v>
      </c>
      <c r="B10" s="125" t="str">
        <f>Inventory!B8</f>
        <v>Solar Saturn T1200</v>
      </c>
      <c r="C10" s="224">
        <f>NOx!O8</f>
        <v>12.6144</v>
      </c>
      <c r="D10" s="224">
        <f>CO!O8</f>
        <v>10.731</v>
      </c>
      <c r="E10" s="224">
        <f>'PM-10'!O8</f>
        <v>0.35417503440000009</v>
      </c>
      <c r="F10" s="224">
        <f>VOC!O8</f>
        <v>0.1126920564</v>
      </c>
      <c r="G10" s="512"/>
      <c r="H10" s="211">
        <f>CO2e!R8</f>
        <v>6283.8137276650441</v>
      </c>
      <c r="I10" s="227">
        <f>'Sig. HAPs Summary'!F18</f>
        <v>5.5129490619720001E-2</v>
      </c>
    </row>
    <row r="11" spans="1:23" ht="17.100000000000001" customHeight="1" x14ac:dyDescent="0.25">
      <c r="A11" s="123">
        <f>Inventory!A9</f>
        <v>15</v>
      </c>
      <c r="B11" s="125" t="str">
        <f>Inventory!B9</f>
        <v>Solar Saturn T1200</v>
      </c>
      <c r="C11" s="224">
        <f>NOx!O9</f>
        <v>12.3078</v>
      </c>
      <c r="D11" s="224">
        <f>CO!O9</f>
        <v>10.468200000000001</v>
      </c>
      <c r="E11" s="224">
        <f>'PM-10'!O9</f>
        <v>0.3728438208</v>
      </c>
      <c r="F11" s="224">
        <f>VOC!O9</f>
        <v>0.11863212479999999</v>
      </c>
      <c r="G11" s="512"/>
      <c r="H11" s="211">
        <f>CO2e!R9</f>
        <v>6615.0374584903993</v>
      </c>
      <c r="I11" s="227">
        <f>'Sig. HAPs Summary'!G18</f>
        <v>5.8035400367039996E-2</v>
      </c>
    </row>
    <row r="12" spans="1:23" ht="17.100000000000001" customHeight="1" x14ac:dyDescent="0.25">
      <c r="A12" s="123">
        <f>Inventory!A10</f>
        <v>16</v>
      </c>
      <c r="B12" s="125" t="str">
        <f>Inventory!B10</f>
        <v>Solar Saturn T1200</v>
      </c>
      <c r="C12" s="224">
        <f>NOx!O10</f>
        <v>12.3078</v>
      </c>
      <c r="D12" s="224">
        <f>CO!O10</f>
        <v>10.468200000000001</v>
      </c>
      <c r="E12" s="224">
        <f>'PM-10'!O10</f>
        <v>0.34954108199999995</v>
      </c>
      <c r="F12" s="224">
        <f>VOC!O10</f>
        <v>0.11121761699999998</v>
      </c>
      <c r="G12" s="512"/>
      <c r="H12" s="211">
        <f>CO2e!R10</f>
        <v>6201.5976173347508</v>
      </c>
      <c r="I12" s="227">
        <f>'Sig. HAPs Summary'!H18</f>
        <v>5.4408187844100002E-2</v>
      </c>
    </row>
    <row r="13" spans="1:23" ht="17.100000000000001" customHeight="1" x14ac:dyDescent="0.25">
      <c r="A13" s="123">
        <f>Inventory!A11</f>
        <v>17</v>
      </c>
      <c r="B13" s="125" t="str">
        <f>Inventory!B11</f>
        <v>Solar Saturn T1200</v>
      </c>
      <c r="C13" s="224">
        <f>NOx!O11</f>
        <v>11.519399999999999</v>
      </c>
      <c r="D13" s="224">
        <f>CO!O11</f>
        <v>9.8112000000000013</v>
      </c>
      <c r="E13" s="224">
        <f>'PM-10'!O11</f>
        <v>0.3728438208</v>
      </c>
      <c r="F13" s="224">
        <f>VOC!O11</f>
        <v>0.11863212479999999</v>
      </c>
      <c r="G13" s="512"/>
      <c r="H13" s="211">
        <f>CO2e!R11</f>
        <v>6615.0374584903993</v>
      </c>
      <c r="I13" s="227">
        <f>'Sig. HAPs Summary'!I18</f>
        <v>5.8035400367039996E-2</v>
      </c>
    </row>
    <row r="14" spans="1:23" ht="17.100000000000001" customHeight="1" x14ac:dyDescent="0.25">
      <c r="A14" s="123">
        <f>Inventory!A12</f>
        <v>18</v>
      </c>
      <c r="B14" s="125" t="str">
        <f>Inventory!B12</f>
        <v>Solar Saturn T1200</v>
      </c>
      <c r="C14" s="224">
        <f>NOx!O12</f>
        <v>12.3078</v>
      </c>
      <c r="D14" s="224">
        <f>CO!O12</f>
        <v>10.468200000000001</v>
      </c>
      <c r="E14" s="224">
        <f>'PM-10'!O12</f>
        <v>0.3728438208</v>
      </c>
      <c r="F14" s="224">
        <f>VOC!O12</f>
        <v>0.11863212479999999</v>
      </c>
      <c r="G14" s="512"/>
      <c r="H14" s="211">
        <f>CO2e!R12</f>
        <v>6615.0374584903993</v>
      </c>
      <c r="I14" s="227">
        <f>'Sig. HAPs Summary'!J18</f>
        <v>5.8035400367039996E-2</v>
      </c>
    </row>
    <row r="15" spans="1:23" ht="17.100000000000001" customHeight="1" x14ac:dyDescent="0.25">
      <c r="A15" s="123">
        <f>Inventory!A17</f>
        <v>28</v>
      </c>
      <c r="B15" s="125" t="str">
        <f>Inventory!B17</f>
        <v>Flare (South)</v>
      </c>
      <c r="C15" s="491">
        <f>NOx!O13</f>
        <v>6.6999024360000003</v>
      </c>
      <c r="D15" s="491">
        <f>CO!O13</f>
        <v>30.543672869999998</v>
      </c>
      <c r="E15" s="510">
        <f>'PM-10'!O13</f>
        <v>2.6011385927999999</v>
      </c>
      <c r="F15" s="491">
        <f>VOC!O13</f>
        <v>110.64223327717822</v>
      </c>
      <c r="G15" s="512"/>
      <c r="H15" s="501">
        <f>CO2e!R13</f>
        <v>11537.424161393672</v>
      </c>
      <c r="I15" s="497">
        <f>'Sig. HAPs Summary'!O18</f>
        <v>5.824305000000001E-3</v>
      </c>
    </row>
    <row r="16" spans="1:23" ht="17.100000000000001" customHeight="1" x14ac:dyDescent="0.25">
      <c r="A16" s="123">
        <f>Inventory!A18</f>
        <v>29</v>
      </c>
      <c r="B16" s="125" t="str">
        <f>Inventory!B18</f>
        <v>Flare (SW)</v>
      </c>
      <c r="C16" s="492"/>
      <c r="D16" s="492"/>
      <c r="E16" s="511"/>
      <c r="F16" s="492"/>
      <c r="G16" s="512"/>
      <c r="H16" s="502"/>
      <c r="I16" s="498"/>
    </row>
    <row r="17" spans="1:9" ht="17.100000000000001" customHeight="1" x14ac:dyDescent="0.25">
      <c r="A17" s="123">
        <f>Inventory!A19</f>
        <v>31</v>
      </c>
      <c r="B17" s="125" t="str">
        <f>Inventory!B19</f>
        <v>Solar Taurus 60 T-7300S</v>
      </c>
      <c r="C17" s="224">
        <f>SUM(NOx!O15:O16)</f>
        <v>22.9</v>
      </c>
      <c r="D17" s="224">
        <f>CO!O15+CO!O16</f>
        <v>99.4</v>
      </c>
      <c r="E17" s="224">
        <f>'PM-10'!O15</f>
        <v>2.2732319321712002</v>
      </c>
      <c r="F17" s="224">
        <f>VOC!O15</f>
        <v>0.72276169492800002</v>
      </c>
      <c r="G17" s="513"/>
      <c r="H17" s="211">
        <f>CO2e!R15</f>
        <v>40331.939391897235</v>
      </c>
      <c r="I17" s="228">
        <f>'Sig. HAPs Summary'!P18</f>
        <v>0.35384232740567245</v>
      </c>
    </row>
    <row r="18" spans="1:9" ht="17.100000000000001" customHeight="1" x14ac:dyDescent="0.25">
      <c r="A18" s="123">
        <f>Inventory!A13</f>
        <v>24</v>
      </c>
      <c r="B18" s="125" t="str">
        <f>Inventory!B13</f>
        <v>Caterpillar 3406</v>
      </c>
      <c r="C18" s="224">
        <f>NOx!O17</f>
        <v>15.809999999999999</v>
      </c>
      <c r="D18" s="224">
        <f>CO!O17</f>
        <v>3.4067999999999996</v>
      </c>
      <c r="E18" s="224">
        <f>'PM-10'!O16</f>
        <v>1.1220000000000001</v>
      </c>
      <c r="F18" s="224">
        <f>VOC!O16</f>
        <v>1.2597</v>
      </c>
      <c r="G18" s="224">
        <f>'SO2'!O16</f>
        <v>1.824087591240876</v>
      </c>
      <c r="H18" s="211">
        <f>CO2e!R16</f>
        <v>584.09922308891998</v>
      </c>
      <c r="I18" s="227">
        <f>'Sig. HAPs Summary'!K18</f>
        <v>1.3828752E-2</v>
      </c>
    </row>
    <row r="19" spans="1:9" ht="17.100000000000001" customHeight="1" x14ac:dyDescent="0.25">
      <c r="A19" s="123">
        <f>Inventory!A14</f>
        <v>25</v>
      </c>
      <c r="B19" s="125" t="str">
        <f>Inventory!B14</f>
        <v>Caterpillar 3208</v>
      </c>
      <c r="C19" s="224">
        <f>NOx!O18</f>
        <v>11.625</v>
      </c>
      <c r="D19" s="224">
        <f>CO!O18</f>
        <v>2.5049999999999999</v>
      </c>
      <c r="E19" s="224">
        <f>'PM-10'!O17</f>
        <v>0.82500000000000007</v>
      </c>
      <c r="F19" s="224">
        <f>VOC!O17</f>
        <v>0.92624999999999991</v>
      </c>
      <c r="G19" s="224">
        <f>'SO2'!O17</f>
        <v>1.3412408759124088</v>
      </c>
      <c r="H19" s="211">
        <f>CO2e!R17</f>
        <v>429.48472285949993</v>
      </c>
      <c r="I19" s="227">
        <f>'Sig. HAPs Summary'!L18</f>
        <v>1.0168200000000001E-2</v>
      </c>
    </row>
    <row r="20" spans="1:9" ht="17.100000000000001" customHeight="1" x14ac:dyDescent="0.25">
      <c r="A20" s="123" t="str">
        <f>Inventory!A15</f>
        <v>26a</v>
      </c>
      <c r="B20" s="125" t="str">
        <f>Inventory!B15</f>
        <v>Detroit Diesel Series 60 6063HV35</v>
      </c>
      <c r="C20" s="224">
        <f>NOx!O19</f>
        <v>1.3373036366839983</v>
      </c>
      <c r="D20" s="224">
        <f>CO!O19</f>
        <v>1.2317270337878929</v>
      </c>
      <c r="E20" s="226">
        <f>'PM-10'!O18</f>
        <v>7.0384401930736751E-2</v>
      </c>
      <c r="F20" s="226">
        <f>VOC!O18</f>
        <v>7.0384401930736751E-2</v>
      </c>
      <c r="G20" s="224">
        <f>'SO2'!O18</f>
        <v>0.61250000000000004</v>
      </c>
      <c r="H20" s="211">
        <f>CO2e!R18</f>
        <v>196.13135677250503</v>
      </c>
      <c r="I20" s="227">
        <f>'Sig. HAPs Summary'!M18</f>
        <v>1.8862487087500002E-3</v>
      </c>
    </row>
    <row r="21" spans="1:9" ht="17.100000000000001" customHeight="1" x14ac:dyDescent="0.25">
      <c r="A21" s="123">
        <f>Inventory!A16</f>
        <v>27</v>
      </c>
      <c r="B21" s="125" t="str">
        <f>Inventory!B16</f>
        <v>Caterpillar D-330C</v>
      </c>
      <c r="C21" s="224">
        <f>NOx!O20</f>
        <v>3.9524999999999997</v>
      </c>
      <c r="D21" s="224">
        <f>CO!O20</f>
        <v>0.8516999999999999</v>
      </c>
      <c r="E21" s="224">
        <f>'PM-10'!O19</f>
        <v>0.28050000000000003</v>
      </c>
      <c r="F21" s="224">
        <f>VOC!O19</f>
        <v>0.31492500000000001</v>
      </c>
      <c r="G21" s="224">
        <f>'SO2'!O19</f>
        <v>0.45602189781021901</v>
      </c>
      <c r="H21" s="211">
        <f>CO2e!R19</f>
        <v>146.02480577223</v>
      </c>
      <c r="I21" s="227">
        <f>'Sig. HAPs Summary'!N18</f>
        <v>3.4571879999999999E-3</v>
      </c>
    </row>
    <row r="22" spans="1:9" ht="17.100000000000001" customHeight="1" x14ac:dyDescent="0.25">
      <c r="A22" s="489" t="s">
        <v>56</v>
      </c>
      <c r="B22" s="490"/>
      <c r="C22" s="225">
        <f t="shared" ref="C22:I22" si="0">SUM(C7:C21)</f>
        <v>285.2151521762039</v>
      </c>
      <c r="D22" s="225">
        <f t="shared" si="0"/>
        <v>209.5956999037879</v>
      </c>
      <c r="E22" s="225">
        <f t="shared" si="0"/>
        <v>12.491214185701937</v>
      </c>
      <c r="F22" s="225">
        <f t="shared" si="0"/>
        <v>115.62865050183694</v>
      </c>
      <c r="G22" s="467">
        <f t="shared" si="0"/>
        <v>102.2338503649635</v>
      </c>
      <c r="H22" s="213">
        <f t="shared" si="0"/>
        <v>147594.68356162164</v>
      </c>
      <c r="I22" s="229">
        <f t="shared" si="0"/>
        <v>1.2169352658633628</v>
      </c>
    </row>
    <row r="23" spans="1:9" ht="17.100000000000001" customHeight="1" x14ac:dyDescent="0.25">
      <c r="A23" s="486" t="s">
        <v>207</v>
      </c>
      <c r="B23" s="487"/>
      <c r="C23" s="487"/>
      <c r="D23" s="487"/>
      <c r="E23" s="487"/>
      <c r="F23" s="487"/>
      <c r="G23" s="487"/>
      <c r="H23" s="487"/>
      <c r="I23" s="488"/>
    </row>
    <row r="24" spans="1:9" ht="17.100000000000001" customHeight="1" x14ac:dyDescent="0.25">
      <c r="A24" s="123" t="str">
        <f>Inventory!A26</f>
        <v>N/A</v>
      </c>
      <c r="B24" s="125" t="str">
        <f>Inventory!B26</f>
        <v>Clayton ROG-60-1 Boiler</v>
      </c>
      <c r="C24" s="224">
        <f>NOx!K27</f>
        <v>1.0766961651917404</v>
      </c>
      <c r="D24" s="224">
        <f>CO!K27</f>
        <v>0.90442477876106198</v>
      </c>
      <c r="E24" s="226">
        <f>'PM-10'!K26</f>
        <v>8.1828908554572269E-2</v>
      </c>
      <c r="F24" s="226">
        <f>VOC!K26</f>
        <v>5.9218289085545724E-2</v>
      </c>
      <c r="G24" s="468">
        <f>'SO2'!K26</f>
        <v>1.1799410029498527</v>
      </c>
      <c r="H24" s="211">
        <f>CO2e!R27</f>
        <v>1282.2109244759999</v>
      </c>
      <c r="I24" s="227">
        <f>'Insig. HAPs Summary'!C27</f>
        <v>2.0332957020648967E-2</v>
      </c>
    </row>
    <row r="25" spans="1:9" ht="17.100000000000001" customHeight="1" x14ac:dyDescent="0.25">
      <c r="A25" s="123" t="str">
        <f>Inventory!A27</f>
        <v>N/A</v>
      </c>
      <c r="B25" s="125" t="str">
        <f>Inventory!B27</f>
        <v>Portable Space Heaters</v>
      </c>
      <c r="C25" s="224">
        <f>NOx!K28</f>
        <v>5.1153284671532848</v>
      </c>
      <c r="D25" s="224">
        <f>CO!K28</f>
        <v>1.2788321167883212</v>
      </c>
      <c r="E25" s="224">
        <f>'PM-10'!K27</f>
        <v>0.844029197080292</v>
      </c>
      <c r="F25" s="226">
        <f>VOC!K27</f>
        <v>8.6960583941605843E-2</v>
      </c>
      <c r="G25" s="224">
        <f>'SO2'!K27</f>
        <v>17.903649635036498</v>
      </c>
      <c r="H25" s="211">
        <f>CO2e!R28</f>
        <v>5732.9554915392</v>
      </c>
      <c r="I25" s="227">
        <f>'Insig. HAPs Summary'!D27</f>
        <v>1.3035289226277376E-2</v>
      </c>
    </row>
    <row r="26" spans="1:9" ht="17.100000000000001" customHeight="1" x14ac:dyDescent="0.25">
      <c r="A26" s="123" t="str">
        <f>Inventory!A28</f>
        <v>N/A</v>
      </c>
      <c r="B26" s="125" t="str">
        <f>Inventory!B28</f>
        <v>Clayton Sigma Fire</v>
      </c>
      <c r="C26" s="224">
        <f>NOx!K29</f>
        <v>0.72093421828908566</v>
      </c>
      <c r="D26" s="224">
        <f>CO!K29</f>
        <v>0.60558474336283175</v>
      </c>
      <c r="E26" s="226">
        <f>'PM-10'!K28</f>
        <v>5.4791000589970495E-2</v>
      </c>
      <c r="F26" s="226">
        <f>VOC!K28</f>
        <v>3.9651382005899703E-2</v>
      </c>
      <c r="G26" s="468">
        <f>'SO2'!K28</f>
        <v>0.79006489675516223</v>
      </c>
      <c r="H26" s="211">
        <f>CO2e!R29</f>
        <v>862.87795118958172</v>
      </c>
      <c r="I26" s="227">
        <f>'Insig. HAPs Summary'!E27</f>
        <v>1.3614541361886136E-2</v>
      </c>
    </row>
    <row r="27" spans="1:9" ht="17.100000000000001" customHeight="1" x14ac:dyDescent="0.25">
      <c r="A27" s="123" t="str">
        <f>Inventory!A29</f>
        <v>19a</v>
      </c>
      <c r="B27" s="125" t="str">
        <f>Inventory!B29</f>
        <v>Riello AR 400 Boiler</v>
      </c>
      <c r="C27" s="224">
        <f>NOx!K30</f>
        <v>1.7227138643067847</v>
      </c>
      <c r="D27" s="224">
        <f>CO!K30</f>
        <v>1.4470796460176991</v>
      </c>
      <c r="E27" s="224">
        <f>'PM-10'!K29</f>
        <v>0.13092625368731564</v>
      </c>
      <c r="F27" s="226">
        <f>VOC!K29</f>
        <v>9.4749262536873158E-2</v>
      </c>
      <c r="G27" s="468">
        <f>'SO2'!K29</f>
        <v>1.8879056047197642</v>
      </c>
      <c r="H27" s="211">
        <f>CO2e!R30</f>
        <v>2051.5374791616</v>
      </c>
      <c r="I27" s="227">
        <f>'Insig. HAPs Summary'!F27</f>
        <v>3.2532731233038355E-2</v>
      </c>
    </row>
    <row r="28" spans="1:9" ht="17.100000000000001" customHeight="1" x14ac:dyDescent="0.25">
      <c r="A28" s="123" t="str">
        <f>Inventory!A30</f>
        <v>19b</v>
      </c>
      <c r="B28" s="125" t="str">
        <f>Inventory!B30</f>
        <v>Riello AR 400 Boiler</v>
      </c>
      <c r="C28" s="224">
        <f>NOx!K31</f>
        <v>1.7227138643067847</v>
      </c>
      <c r="D28" s="224">
        <f>CO!K31</f>
        <v>1.4470796460176991</v>
      </c>
      <c r="E28" s="224">
        <f>'PM-10'!K30</f>
        <v>0.13092625368731564</v>
      </c>
      <c r="F28" s="226">
        <f>VOC!K30</f>
        <v>9.4749262536873158E-2</v>
      </c>
      <c r="G28" s="468">
        <f>'SO2'!K30</f>
        <v>1.8879056047197642</v>
      </c>
      <c r="H28" s="211">
        <f>CO2e!R31</f>
        <v>2051.5374791616</v>
      </c>
      <c r="I28" s="227">
        <f>+I27</f>
        <v>3.2532731233038355E-2</v>
      </c>
    </row>
    <row r="29" spans="1:9" ht="17.100000000000001" customHeight="1" x14ac:dyDescent="0.25">
      <c r="A29" s="123" t="str">
        <f>Inventory!A31</f>
        <v>20a</v>
      </c>
      <c r="B29" s="125" t="str">
        <f>Inventory!B31</f>
        <v>Riello AR 400 Boiler</v>
      </c>
      <c r="C29" s="224">
        <f>NOx!K32</f>
        <v>1.7399410029498525</v>
      </c>
      <c r="D29" s="224">
        <f>CO!K32</f>
        <v>1.4470796460176991</v>
      </c>
      <c r="E29" s="224">
        <f>'PM-10'!K31</f>
        <v>0.13092625368731564</v>
      </c>
      <c r="F29" s="226">
        <f>VOC!K31</f>
        <v>9.4749262536873158E-2</v>
      </c>
      <c r="G29" s="468">
        <f>'SO2'!K31</f>
        <v>1.8879056047197642</v>
      </c>
      <c r="H29" s="211">
        <f>CO2e!R32</f>
        <v>2051.5374791616</v>
      </c>
      <c r="I29" s="227">
        <f>+I28</f>
        <v>3.2532731233038355E-2</v>
      </c>
    </row>
    <row r="30" spans="1:9" ht="17.100000000000001" customHeight="1" x14ac:dyDescent="0.25">
      <c r="A30" s="489" t="s">
        <v>57</v>
      </c>
      <c r="B30" s="490"/>
      <c r="C30" s="225">
        <f>SUM(C24:C29)</f>
        <v>12.098327582197532</v>
      </c>
      <c r="D30" s="225">
        <f t="shared" ref="D30:I30" si="1">SUM(D24:D29)</f>
        <v>7.1300805769653124</v>
      </c>
      <c r="E30" s="225">
        <f t="shared" si="1"/>
        <v>1.3734278672867819</v>
      </c>
      <c r="F30" s="225">
        <f t="shared" si="1"/>
        <v>0.47007804264367076</v>
      </c>
      <c r="G30" s="467">
        <f t="shared" si="1"/>
        <v>25.53737234890081</v>
      </c>
      <c r="H30" s="213">
        <f t="shared" si="1"/>
        <v>14032.656804689581</v>
      </c>
      <c r="I30" s="229">
        <f t="shared" si="1"/>
        <v>0.14458098130792754</v>
      </c>
    </row>
    <row r="31" spans="1:9" ht="17.100000000000001" customHeight="1" x14ac:dyDescent="0.25">
      <c r="A31" s="486" t="s">
        <v>23</v>
      </c>
      <c r="B31" s="487"/>
      <c r="C31" s="487"/>
      <c r="D31" s="487"/>
      <c r="E31" s="487"/>
      <c r="F31" s="487"/>
      <c r="G31" s="487"/>
      <c r="H31" s="487"/>
      <c r="I31" s="488"/>
    </row>
    <row r="32" spans="1:9" ht="17.100000000000001" customHeight="1" x14ac:dyDescent="0.25">
      <c r="A32" s="482" t="s">
        <v>58</v>
      </c>
      <c r="B32" s="483"/>
      <c r="C32" s="215">
        <f t="shared" ref="C32:I32" si="2">C22+C30</f>
        <v>297.31347975840146</v>
      </c>
      <c r="D32" s="215">
        <f t="shared" si="2"/>
        <v>216.7257804807532</v>
      </c>
      <c r="E32" s="215">
        <f t="shared" si="2"/>
        <v>13.864642052988719</v>
      </c>
      <c r="F32" s="215">
        <f t="shared" si="2"/>
        <v>116.09872854448061</v>
      </c>
      <c r="G32" s="469">
        <f t="shared" si="2"/>
        <v>127.77122271386432</v>
      </c>
      <c r="H32" s="216">
        <f t="shared" si="2"/>
        <v>161627.34036631123</v>
      </c>
      <c r="I32" s="217">
        <f t="shared" si="2"/>
        <v>1.3615162471712903</v>
      </c>
    </row>
    <row r="33" spans="1:9" ht="17.100000000000001" customHeight="1" x14ac:dyDescent="0.25">
      <c r="A33" s="503" t="s">
        <v>59</v>
      </c>
      <c r="B33" s="504"/>
      <c r="C33" s="125" t="str">
        <f>IF(C32&gt;100,"Major","Minor")</f>
        <v>Major</v>
      </c>
      <c r="D33" s="125" t="str">
        <f t="shared" ref="D33:G33" si="3">IF(D32&gt;100,"Major","Minor")</f>
        <v>Major</v>
      </c>
      <c r="E33" s="125" t="str">
        <f t="shared" si="3"/>
        <v>Minor</v>
      </c>
      <c r="F33" s="125" t="str">
        <f t="shared" si="3"/>
        <v>Major</v>
      </c>
      <c r="G33" s="125" t="str">
        <f t="shared" si="3"/>
        <v>Major</v>
      </c>
      <c r="H33" s="125" t="s">
        <v>7</v>
      </c>
      <c r="I33" s="218" t="s">
        <v>7</v>
      </c>
    </row>
    <row r="34" spans="1:9" ht="17.100000000000001" customHeight="1" thickBot="1" x14ac:dyDescent="0.3">
      <c r="A34" s="505" t="s">
        <v>60</v>
      </c>
      <c r="B34" s="506"/>
      <c r="C34" s="507">
        <f>SUM(C32:G32)</f>
        <v>771.7738535504883</v>
      </c>
      <c r="D34" s="508"/>
      <c r="E34" s="508"/>
      <c r="F34" s="508"/>
      <c r="G34" s="508"/>
      <c r="H34" s="508"/>
      <c r="I34" s="509"/>
    </row>
    <row r="35" spans="1:9" ht="17.100000000000001" customHeight="1" x14ac:dyDescent="0.25"/>
    <row r="36" spans="1:9" ht="32.25" customHeight="1" x14ac:dyDescent="0.25">
      <c r="A36" s="472" t="s">
        <v>379</v>
      </c>
      <c r="B36" s="473"/>
      <c r="C36" s="473"/>
      <c r="D36" s="473"/>
      <c r="E36" s="473"/>
      <c r="F36" s="473"/>
      <c r="G36" s="473"/>
      <c r="H36" s="473"/>
      <c r="I36" s="473"/>
    </row>
    <row r="37" spans="1:9" ht="17.100000000000001" customHeight="1" x14ac:dyDescent="0.25">
      <c r="A37" s="473" t="str">
        <f>A2</f>
        <v>Hilcorp Alaska, LLC - Grayling Platform</v>
      </c>
      <c r="B37" s="473"/>
      <c r="C37" s="473"/>
      <c r="D37" s="473"/>
      <c r="E37" s="473"/>
      <c r="F37" s="473"/>
      <c r="G37" s="473"/>
      <c r="H37" s="473"/>
      <c r="I37" s="473"/>
    </row>
    <row r="38" spans="1:9" ht="17.100000000000001" customHeight="1" thickBot="1" x14ac:dyDescent="0.3"/>
    <row r="39" spans="1:9" ht="17.100000000000001" customHeight="1" x14ac:dyDescent="0.25">
      <c r="A39" s="479" t="s">
        <v>0</v>
      </c>
      <c r="B39" s="477" t="s">
        <v>205</v>
      </c>
      <c r="C39" s="477" t="s">
        <v>61</v>
      </c>
      <c r="D39" s="477"/>
      <c r="E39" s="477"/>
      <c r="F39" s="477"/>
      <c r="G39" s="477"/>
      <c r="H39" s="477"/>
      <c r="I39" s="481"/>
    </row>
    <row r="40" spans="1:9" ht="17.100000000000001" customHeight="1" thickBot="1" x14ac:dyDescent="0.3">
      <c r="A40" s="480"/>
      <c r="B40" s="478"/>
      <c r="C40" s="120" t="s">
        <v>53</v>
      </c>
      <c r="D40" s="120" t="s">
        <v>50</v>
      </c>
      <c r="E40" s="120" t="s">
        <v>54</v>
      </c>
      <c r="F40" s="120" t="s">
        <v>51</v>
      </c>
      <c r="G40" s="452" t="s">
        <v>375</v>
      </c>
      <c r="H40" s="120" t="s">
        <v>55</v>
      </c>
      <c r="I40" s="121" t="s">
        <v>52</v>
      </c>
    </row>
    <row r="41" spans="1:9" ht="17.100000000000001" customHeight="1" thickTop="1" x14ac:dyDescent="0.25">
      <c r="A41" s="474" t="s">
        <v>206</v>
      </c>
      <c r="B41" s="475"/>
      <c r="C41" s="475"/>
      <c r="D41" s="475"/>
      <c r="E41" s="475"/>
      <c r="F41" s="475"/>
      <c r="G41" s="475"/>
      <c r="H41" s="475"/>
      <c r="I41" s="476"/>
    </row>
    <row r="42" spans="1:9" ht="17.100000000000001" customHeight="1" x14ac:dyDescent="0.25">
      <c r="A42" s="123">
        <f t="shared" ref="A42:B56" si="4">A7</f>
        <v>1</v>
      </c>
      <c r="B42" s="125" t="str">
        <f t="shared" si="4"/>
        <v>Solar Centaur T4500</v>
      </c>
      <c r="C42" s="224">
        <f>NOx!Q5</f>
        <v>53.944415367839987</v>
      </c>
      <c r="D42" s="224">
        <f>CO!Q5</f>
        <v>6.57</v>
      </c>
      <c r="E42" s="224">
        <f>'PM-10'!Q5</f>
        <v>1.1655705600000001</v>
      </c>
      <c r="F42" s="224">
        <f>VOC!Q5</f>
        <v>0.37086335999999998</v>
      </c>
      <c r="G42" s="468">
        <f>'SO2'!Q5</f>
        <v>19.030088495575225</v>
      </c>
      <c r="H42" s="211">
        <f>CO2e!Z5</f>
        <v>20679.685287867651</v>
      </c>
      <c r="I42" s="228">
        <f t="shared" ref="I42:I49" si="5">I7</f>
        <v>0.18142812172800002</v>
      </c>
    </row>
    <row r="43" spans="1:9" ht="17.100000000000001" customHeight="1" x14ac:dyDescent="0.25">
      <c r="A43" s="123">
        <f t="shared" si="4"/>
        <v>3</v>
      </c>
      <c r="B43" s="125" t="str">
        <f t="shared" si="4"/>
        <v>Solar Centaur T4500</v>
      </c>
      <c r="C43" s="224">
        <f>NOx!Q6</f>
        <v>53.944415367839987</v>
      </c>
      <c r="D43" s="224">
        <f>CO!Q6</f>
        <v>6.57</v>
      </c>
      <c r="E43" s="224">
        <f>'PM-10'!Q6</f>
        <v>1.1655705600000001</v>
      </c>
      <c r="F43" s="224">
        <f>VOC!Q6</f>
        <v>0.37086335999999998</v>
      </c>
      <c r="G43" s="468">
        <f>'SO2'!Q6</f>
        <v>19.030088495575225</v>
      </c>
      <c r="H43" s="211">
        <f>CO2e!Z6</f>
        <v>20679.685287867651</v>
      </c>
      <c r="I43" s="228">
        <f t="shared" si="5"/>
        <v>0.18142812172800002</v>
      </c>
    </row>
    <row r="44" spans="1:9" ht="17.100000000000001" customHeight="1" x14ac:dyDescent="0.25">
      <c r="A44" s="123" t="str">
        <f t="shared" si="4"/>
        <v>4a</v>
      </c>
      <c r="B44" s="125" t="str">
        <f t="shared" si="4"/>
        <v>Solar Centaur T4500</v>
      </c>
      <c r="C44" s="224">
        <f>NOx!Q7</f>
        <v>53.944415367839987</v>
      </c>
      <c r="D44" s="224">
        <f>CO!Q7</f>
        <v>6.57</v>
      </c>
      <c r="E44" s="224">
        <f>'PM-10'!Q7</f>
        <v>1.1655705600000001</v>
      </c>
      <c r="F44" s="224">
        <f>VOC!Q7</f>
        <v>0.37086335999999998</v>
      </c>
      <c r="G44" s="468">
        <f>'SO2'!Q7</f>
        <v>19.030088495575225</v>
      </c>
      <c r="H44" s="211">
        <f>CO2e!Z7</f>
        <v>20679.685287867651</v>
      </c>
      <c r="I44" s="228">
        <f t="shared" si="5"/>
        <v>0.18142812172800002</v>
      </c>
    </row>
    <row r="45" spans="1:9" ht="17.100000000000001" customHeight="1" x14ac:dyDescent="0.25">
      <c r="A45" s="123">
        <f t="shared" si="4"/>
        <v>14</v>
      </c>
      <c r="B45" s="125" t="str">
        <f t="shared" si="4"/>
        <v>Solar Saturn T1200</v>
      </c>
      <c r="C45" s="224">
        <f>NOx!Q8</f>
        <v>12.614399999999998</v>
      </c>
      <c r="D45" s="224">
        <f>CO!Q8</f>
        <v>10.731</v>
      </c>
      <c r="E45" s="224">
        <f>'PM-10'!Q8</f>
        <v>0.35417503440000009</v>
      </c>
      <c r="F45" s="224">
        <f>VOC!Q8</f>
        <v>0.1126920564</v>
      </c>
      <c r="G45" s="468">
        <f>'SO2'!Q8</f>
        <v>5.7825604719764003</v>
      </c>
      <c r="H45" s="211">
        <f>CO2e!Z8</f>
        <v>6283.8136956819653</v>
      </c>
      <c r="I45" s="227">
        <f t="shared" si="5"/>
        <v>5.5129490619720001E-2</v>
      </c>
    </row>
    <row r="46" spans="1:9" ht="17.100000000000001" customHeight="1" x14ac:dyDescent="0.25">
      <c r="A46" s="123">
        <f t="shared" si="4"/>
        <v>15</v>
      </c>
      <c r="B46" s="125" t="str">
        <f t="shared" si="4"/>
        <v>Solar Saturn T1200</v>
      </c>
      <c r="C46" s="224">
        <f>NOx!Q9</f>
        <v>12.3078</v>
      </c>
      <c r="D46" s="224">
        <f>CO!Q9</f>
        <v>10.468200000000001</v>
      </c>
      <c r="E46" s="224">
        <f>'PM-10'!Q9</f>
        <v>0.3728438208</v>
      </c>
      <c r="F46" s="224">
        <f>VOC!Q9</f>
        <v>0.11863212479999999</v>
      </c>
      <c r="G46" s="468">
        <f>'SO2'!Q9</f>
        <v>6.0873628318584077</v>
      </c>
      <c r="H46" s="211">
        <f>CO2e!Z9</f>
        <v>6615.0374248214721</v>
      </c>
      <c r="I46" s="227">
        <f t="shared" si="5"/>
        <v>5.8035400367039996E-2</v>
      </c>
    </row>
    <row r="47" spans="1:9" ht="17.100000000000001" customHeight="1" x14ac:dyDescent="0.25">
      <c r="A47" s="123">
        <f t="shared" si="4"/>
        <v>16</v>
      </c>
      <c r="B47" s="125" t="str">
        <f t="shared" si="4"/>
        <v>Solar Saturn T1200</v>
      </c>
      <c r="C47" s="224">
        <f>NOx!Q10</f>
        <v>12.3078</v>
      </c>
      <c r="D47" s="224">
        <f>CO!Q10</f>
        <v>10.468200000000001</v>
      </c>
      <c r="E47" s="224">
        <f>'PM-10'!Q10</f>
        <v>0.34954108199999995</v>
      </c>
      <c r="F47" s="224">
        <f>VOC!Q10</f>
        <v>0.11121761699999998</v>
      </c>
      <c r="G47" s="468">
        <f>'SO2'!Q10</f>
        <v>5.7069026548672568</v>
      </c>
      <c r="H47" s="211">
        <f>CO2e!Z10</f>
        <v>6201.5975857701314</v>
      </c>
      <c r="I47" s="227">
        <f t="shared" si="5"/>
        <v>5.4408187844100002E-2</v>
      </c>
    </row>
    <row r="48" spans="1:9" ht="17.100000000000001" customHeight="1" x14ac:dyDescent="0.25">
      <c r="A48" s="123">
        <f t="shared" si="4"/>
        <v>17</v>
      </c>
      <c r="B48" s="125" t="str">
        <f t="shared" si="4"/>
        <v>Solar Saturn T1200</v>
      </c>
      <c r="C48" s="224">
        <f>NOx!Q11</f>
        <v>11.519399999999999</v>
      </c>
      <c r="D48" s="224">
        <f>CO!Q11</f>
        <v>9.8112000000000013</v>
      </c>
      <c r="E48" s="224">
        <f>'PM-10'!Q11</f>
        <v>0.3728438208</v>
      </c>
      <c r="F48" s="224">
        <f>VOC!Q11</f>
        <v>0.11863212479999999</v>
      </c>
      <c r="G48" s="468">
        <f>'SO2'!Q11</f>
        <v>6.0873628318584077</v>
      </c>
      <c r="H48" s="211">
        <f>CO2e!Z11</f>
        <v>6615.0374248214721</v>
      </c>
      <c r="I48" s="227">
        <f t="shared" si="5"/>
        <v>5.8035400367039996E-2</v>
      </c>
    </row>
    <row r="49" spans="1:10" ht="17.100000000000001" customHeight="1" x14ac:dyDescent="0.25">
      <c r="A49" s="123">
        <f t="shared" si="4"/>
        <v>18</v>
      </c>
      <c r="B49" s="125" t="str">
        <f t="shared" si="4"/>
        <v>Solar Saturn T1200</v>
      </c>
      <c r="C49" s="224">
        <f>NOx!Q12</f>
        <v>12.3078</v>
      </c>
      <c r="D49" s="224">
        <f>CO!Q12</f>
        <v>10.468200000000001</v>
      </c>
      <c r="E49" s="224">
        <f>'PM-10'!Q12</f>
        <v>0.3728438208</v>
      </c>
      <c r="F49" s="224">
        <f>VOC!Q12</f>
        <v>0.11863212479999999</v>
      </c>
      <c r="G49" s="468">
        <f>'SO2'!Q12</f>
        <v>6.0873628318584077</v>
      </c>
      <c r="H49" s="211">
        <f>CO2e!Z12</f>
        <v>6615.0374248214721</v>
      </c>
      <c r="I49" s="227">
        <f t="shared" si="5"/>
        <v>5.8035400367039996E-2</v>
      </c>
    </row>
    <row r="50" spans="1:10" ht="17.100000000000001" customHeight="1" x14ac:dyDescent="0.25">
      <c r="A50" s="123">
        <f t="shared" si="4"/>
        <v>28</v>
      </c>
      <c r="B50" s="125" t="str">
        <f t="shared" si="4"/>
        <v>Flare (South)</v>
      </c>
      <c r="C50" s="491">
        <f>NOx!Q13</f>
        <v>356.41619280000003</v>
      </c>
      <c r="D50" s="491">
        <f>CO!Q13</f>
        <v>1624.8385259999998</v>
      </c>
      <c r="E50" s="491">
        <f>'PM-10'!Q13</f>
        <v>138.37334543999998</v>
      </c>
      <c r="F50" s="491">
        <f>VOC!Q13</f>
        <v>2942.9296862332199</v>
      </c>
      <c r="G50" s="499">
        <f>'SO2'!Q13</f>
        <v>564.79999999999995</v>
      </c>
      <c r="H50" s="501">
        <f>CO2e!Z13</f>
        <v>613758.90673084185</v>
      </c>
      <c r="I50" s="493">
        <f>'Sig. HAPs Summary'!O37</f>
        <v>15.229479</v>
      </c>
    </row>
    <row r="51" spans="1:10" ht="17.100000000000001" customHeight="1" x14ac:dyDescent="0.25">
      <c r="A51" s="123">
        <f t="shared" si="4"/>
        <v>29</v>
      </c>
      <c r="B51" s="125" t="str">
        <f t="shared" si="4"/>
        <v>Flare (SW)</v>
      </c>
      <c r="C51" s="492"/>
      <c r="D51" s="492"/>
      <c r="E51" s="492"/>
      <c r="F51" s="492"/>
      <c r="G51" s="500"/>
      <c r="H51" s="502"/>
      <c r="I51" s="494"/>
    </row>
    <row r="52" spans="1:10" ht="17.100000000000001" customHeight="1" x14ac:dyDescent="0.25">
      <c r="A52" s="123">
        <f t="shared" si="4"/>
        <v>31</v>
      </c>
      <c r="B52" s="125" t="str">
        <f t="shared" si="4"/>
        <v>Solar Taurus 60 T-7300S</v>
      </c>
      <c r="C52" s="224">
        <f>NOx!Q15</f>
        <v>26.455200000000001</v>
      </c>
      <c r="D52" s="224">
        <f>CO!Q15</f>
        <v>1498.3979999999999</v>
      </c>
      <c r="E52" s="224">
        <f>'PM-10'!Q15</f>
        <v>2.2732319321712002</v>
      </c>
      <c r="F52" s="224">
        <f>VOC!Q15</f>
        <v>0.72276169492799991</v>
      </c>
      <c r="G52" s="468">
        <f>'SO2'!Q15</f>
        <v>37.087025840707966</v>
      </c>
      <c r="H52" s="211">
        <f>CO2e!Z15</f>
        <v>40331.922312654147</v>
      </c>
      <c r="I52" s="228">
        <f>I17</f>
        <v>0.35384232740567245</v>
      </c>
    </row>
    <row r="53" spans="1:10" ht="17.100000000000001" customHeight="1" x14ac:dyDescent="0.25">
      <c r="A53" s="123">
        <f t="shared" si="4"/>
        <v>24</v>
      </c>
      <c r="B53" s="125" t="str">
        <f t="shared" si="4"/>
        <v>Caterpillar 3406</v>
      </c>
      <c r="C53" s="224">
        <f>NOx!Q17</f>
        <v>46.165199999999999</v>
      </c>
      <c r="D53" s="224">
        <f>CO!Q17</f>
        <v>9.947855999999998</v>
      </c>
      <c r="E53" s="224">
        <f>'PM-10'!Q16</f>
        <v>3.2762400000000005</v>
      </c>
      <c r="F53" s="224">
        <f>VOC!Q16</f>
        <v>3.6783239999999999</v>
      </c>
      <c r="G53" s="224">
        <f>'SO2'!Q16</f>
        <v>5.3263357664233579</v>
      </c>
      <c r="H53" s="211">
        <f>CO2e!Z16</f>
        <v>1705.5696941419917</v>
      </c>
      <c r="I53" s="227">
        <f>'Sig. HAPs Summary'!K37</f>
        <v>4.0379955839999995E-2</v>
      </c>
    </row>
    <row r="54" spans="1:10" ht="17.100000000000001" customHeight="1" x14ac:dyDescent="0.25">
      <c r="A54" s="123">
        <f t="shared" si="4"/>
        <v>25</v>
      </c>
      <c r="B54" s="125" t="str">
        <f t="shared" si="4"/>
        <v>Caterpillar 3208</v>
      </c>
      <c r="C54" s="224">
        <f>NOx!Q18</f>
        <v>33.945</v>
      </c>
      <c r="D54" s="224">
        <f>CO!Q18</f>
        <v>7.3145999999999995</v>
      </c>
      <c r="E54" s="224">
        <f>'PM-10'!Q17</f>
        <v>2.4090000000000003</v>
      </c>
      <c r="F54" s="224">
        <f>VOC!Q17</f>
        <v>2.7046499999999996</v>
      </c>
      <c r="G54" s="224">
        <f>'SO2'!Q17</f>
        <v>3.9164233576642342</v>
      </c>
      <c r="H54" s="211">
        <f>CO2e!Z17</f>
        <v>1254.0953633396998</v>
      </c>
      <c r="I54" s="227">
        <f>'Sig. HAPs Summary'!L37</f>
        <v>2.9691143999999999E-2</v>
      </c>
    </row>
    <row r="55" spans="1:10" ht="17.100000000000001" customHeight="1" x14ac:dyDescent="0.25">
      <c r="A55" s="123" t="str">
        <f t="shared" si="4"/>
        <v>26a</v>
      </c>
      <c r="B55" s="125" t="str">
        <f t="shared" si="4"/>
        <v>Detroit Diesel Series 60 6063HV35</v>
      </c>
      <c r="C55" s="224">
        <f>NOx!Q19</f>
        <v>23.42955971470365</v>
      </c>
      <c r="D55" s="224">
        <f>CO!Q19</f>
        <v>21.579857631963886</v>
      </c>
      <c r="E55" s="224">
        <f>'PM-10'!Q18</f>
        <v>1.2331347218265079</v>
      </c>
      <c r="F55" s="224">
        <f>VOC!Q18</f>
        <v>1.2331347218265079</v>
      </c>
      <c r="G55" s="224">
        <f>'SO2'!Q18</f>
        <v>10.731</v>
      </c>
      <c r="H55" s="211">
        <f>CO2e!Z18</f>
        <v>3436.221295550778</v>
      </c>
      <c r="I55" s="227">
        <f>'Sig. HAPs Summary'!M37</f>
        <v>3.3047077377300005E-2</v>
      </c>
    </row>
    <row r="56" spans="1:10" ht="17.100000000000001" customHeight="1" x14ac:dyDescent="0.25">
      <c r="A56" s="123">
        <f t="shared" si="4"/>
        <v>27</v>
      </c>
      <c r="B56" s="125" t="str">
        <f t="shared" si="4"/>
        <v>Caterpillar D-330C</v>
      </c>
      <c r="C56" s="224">
        <f>NOx!Q20</f>
        <v>11.5413</v>
      </c>
      <c r="D56" s="224">
        <f>CO!Q20</f>
        <v>2.4869639999999995</v>
      </c>
      <c r="E56" s="224">
        <f>'PM-10'!Q19</f>
        <v>0.81906000000000012</v>
      </c>
      <c r="F56" s="224">
        <f>VOC!Q19</f>
        <v>0.91958099999999998</v>
      </c>
      <c r="G56" s="224">
        <f>'SO2'!Q19</f>
        <v>1.3315839416058395</v>
      </c>
      <c r="H56" s="211">
        <f>CO2e!Z19</f>
        <v>426.39242353549793</v>
      </c>
      <c r="I56" s="227">
        <f>'Sig. HAPs Summary'!N37</f>
        <v>1.0094988959999999E-2</v>
      </c>
    </row>
    <row r="57" spans="1:10" ht="17.100000000000001" customHeight="1" x14ac:dyDescent="0.25">
      <c r="A57" s="489" t="s">
        <v>56</v>
      </c>
      <c r="B57" s="490"/>
      <c r="C57" s="225">
        <f t="shared" ref="C57:I57" si="6">SUM(C42:C56)</f>
        <v>720.84289861822367</v>
      </c>
      <c r="D57" s="364">
        <f t="shared" si="6"/>
        <v>3236.2226036319635</v>
      </c>
      <c r="E57" s="225">
        <f t="shared" si="6"/>
        <v>153.70297135279768</v>
      </c>
      <c r="F57" s="225">
        <f t="shared" si="6"/>
        <v>2953.8805337777744</v>
      </c>
      <c r="G57" s="467">
        <f t="shared" si="6"/>
        <v>710.03418601554586</v>
      </c>
      <c r="H57" s="213">
        <f t="shared" si="6"/>
        <v>755282.68723958335</v>
      </c>
      <c r="I57" s="229">
        <f t="shared" si="6"/>
        <v>16.524462738331913</v>
      </c>
      <c r="J57" s="180"/>
    </row>
    <row r="58" spans="1:10" ht="17.100000000000001" customHeight="1" x14ac:dyDescent="0.25">
      <c r="A58" s="486" t="s">
        <v>207</v>
      </c>
      <c r="B58" s="487"/>
      <c r="C58" s="487"/>
      <c r="D58" s="487"/>
      <c r="E58" s="487"/>
      <c r="F58" s="487"/>
      <c r="G58" s="487"/>
      <c r="H58" s="487"/>
      <c r="I58" s="488"/>
    </row>
    <row r="59" spans="1:10" ht="17.100000000000001" customHeight="1" x14ac:dyDescent="0.25">
      <c r="A59" s="123" t="str">
        <f t="shared" ref="A59:C64" si="7">A24</f>
        <v>N/A</v>
      </c>
      <c r="B59" s="125" t="str">
        <f t="shared" si="7"/>
        <v>Clayton ROG-60-1 Boiler</v>
      </c>
      <c r="C59" s="224">
        <f t="shared" si="7"/>
        <v>1.0766961651917404</v>
      </c>
      <c r="D59" s="224">
        <f>CO!K27</f>
        <v>0.90442477876106198</v>
      </c>
      <c r="E59" s="226">
        <f t="shared" ref="E59:I64" si="8">E24</f>
        <v>8.1828908554572269E-2</v>
      </c>
      <c r="F59" s="226">
        <f t="shared" si="8"/>
        <v>5.9218289085545724E-2</v>
      </c>
      <c r="G59" s="468">
        <f t="shared" si="8"/>
        <v>1.1799410029498527</v>
      </c>
      <c r="H59" s="211">
        <f t="shared" si="8"/>
        <v>1282.2109244759999</v>
      </c>
      <c r="I59" s="212">
        <f t="shared" si="8"/>
        <v>2.0332957020648967E-2</v>
      </c>
    </row>
    <row r="60" spans="1:10" ht="17.100000000000001" customHeight="1" x14ac:dyDescent="0.25">
      <c r="A60" s="123" t="str">
        <f t="shared" si="7"/>
        <v>N/A</v>
      </c>
      <c r="B60" s="125" t="str">
        <f t="shared" si="7"/>
        <v>Portable Space Heaters</v>
      </c>
      <c r="C60" s="224">
        <f t="shared" si="7"/>
        <v>5.1153284671532848</v>
      </c>
      <c r="D60" s="224">
        <f>CO!K28</f>
        <v>1.2788321167883212</v>
      </c>
      <c r="E60" s="224">
        <f t="shared" si="8"/>
        <v>0.844029197080292</v>
      </c>
      <c r="F60" s="226">
        <f t="shared" si="8"/>
        <v>8.6960583941605843E-2</v>
      </c>
      <c r="G60" s="224">
        <f t="shared" si="8"/>
        <v>17.903649635036498</v>
      </c>
      <c r="H60" s="211">
        <f t="shared" si="8"/>
        <v>5732.9554915392</v>
      </c>
      <c r="I60" s="212">
        <f t="shared" si="8"/>
        <v>1.3035289226277376E-2</v>
      </c>
    </row>
    <row r="61" spans="1:10" ht="17.100000000000001" customHeight="1" x14ac:dyDescent="0.25">
      <c r="A61" s="123" t="str">
        <f t="shared" si="7"/>
        <v>N/A</v>
      </c>
      <c r="B61" s="125" t="str">
        <f t="shared" si="7"/>
        <v>Clayton Sigma Fire</v>
      </c>
      <c r="C61" s="224">
        <f t="shared" si="7"/>
        <v>0.72093421828908566</v>
      </c>
      <c r="D61" s="224">
        <f>CO!K29</f>
        <v>0.60558474336283175</v>
      </c>
      <c r="E61" s="226">
        <f t="shared" si="8"/>
        <v>5.4791000589970495E-2</v>
      </c>
      <c r="F61" s="226">
        <f t="shared" si="8"/>
        <v>3.9651382005899703E-2</v>
      </c>
      <c r="G61" s="468">
        <f t="shared" si="8"/>
        <v>0.79006489675516223</v>
      </c>
      <c r="H61" s="211">
        <f t="shared" si="8"/>
        <v>862.87795118958172</v>
      </c>
      <c r="I61" s="212">
        <f t="shared" si="8"/>
        <v>1.3614541361886136E-2</v>
      </c>
    </row>
    <row r="62" spans="1:10" ht="17.100000000000001" customHeight="1" x14ac:dyDescent="0.25">
      <c r="A62" s="123" t="str">
        <f t="shared" si="7"/>
        <v>19a</v>
      </c>
      <c r="B62" s="125" t="str">
        <f t="shared" si="7"/>
        <v>Riello AR 400 Boiler</v>
      </c>
      <c r="C62" s="224">
        <f t="shared" si="7"/>
        <v>1.7227138643067847</v>
      </c>
      <c r="D62" s="224">
        <f>CO!K30</f>
        <v>1.4470796460176991</v>
      </c>
      <c r="E62" s="224">
        <f t="shared" si="8"/>
        <v>0.13092625368731564</v>
      </c>
      <c r="F62" s="226">
        <f t="shared" si="8"/>
        <v>9.4749262536873158E-2</v>
      </c>
      <c r="G62" s="468">
        <f t="shared" si="8"/>
        <v>1.8879056047197642</v>
      </c>
      <c r="H62" s="211">
        <f t="shared" si="8"/>
        <v>2051.5374791616</v>
      </c>
      <c r="I62" s="212">
        <f t="shared" si="8"/>
        <v>3.2532731233038355E-2</v>
      </c>
    </row>
    <row r="63" spans="1:10" ht="17.100000000000001" customHeight="1" x14ac:dyDescent="0.25">
      <c r="A63" s="123" t="str">
        <f t="shared" si="7"/>
        <v>19b</v>
      </c>
      <c r="B63" s="125" t="str">
        <f t="shared" si="7"/>
        <v>Riello AR 400 Boiler</v>
      </c>
      <c r="C63" s="224">
        <f t="shared" si="7"/>
        <v>1.7227138643067847</v>
      </c>
      <c r="D63" s="224">
        <f>CO!K31</f>
        <v>1.4470796460176991</v>
      </c>
      <c r="E63" s="224">
        <f t="shared" si="8"/>
        <v>0.13092625368731564</v>
      </c>
      <c r="F63" s="226">
        <f t="shared" si="8"/>
        <v>9.4749262536873158E-2</v>
      </c>
      <c r="G63" s="468">
        <f t="shared" si="8"/>
        <v>1.8879056047197642</v>
      </c>
      <c r="H63" s="211">
        <f t="shared" si="8"/>
        <v>2051.5374791616</v>
      </c>
      <c r="I63" s="212">
        <f t="shared" si="8"/>
        <v>3.2532731233038355E-2</v>
      </c>
    </row>
    <row r="64" spans="1:10" ht="17.100000000000001" customHeight="1" x14ac:dyDescent="0.25">
      <c r="A64" s="123" t="str">
        <f t="shared" si="7"/>
        <v>20a</v>
      </c>
      <c r="B64" s="125" t="str">
        <f t="shared" si="7"/>
        <v>Riello AR 400 Boiler</v>
      </c>
      <c r="C64" s="224">
        <f t="shared" si="7"/>
        <v>1.7399410029498525</v>
      </c>
      <c r="D64" s="224">
        <f>CO!K32</f>
        <v>1.4470796460176991</v>
      </c>
      <c r="E64" s="224">
        <f t="shared" si="8"/>
        <v>0.13092625368731564</v>
      </c>
      <c r="F64" s="226">
        <f t="shared" si="8"/>
        <v>9.4749262536873158E-2</v>
      </c>
      <c r="G64" s="468">
        <f t="shared" si="8"/>
        <v>1.8879056047197642</v>
      </c>
      <c r="H64" s="211">
        <f t="shared" si="8"/>
        <v>2051.5374791616</v>
      </c>
      <c r="I64" s="212">
        <f t="shared" si="8"/>
        <v>3.2532731233038355E-2</v>
      </c>
    </row>
    <row r="65" spans="1:9" ht="17.100000000000001" customHeight="1" x14ac:dyDescent="0.25">
      <c r="A65" s="489" t="s">
        <v>57</v>
      </c>
      <c r="B65" s="490"/>
      <c r="C65" s="225">
        <f>SUM(C59:C64)</f>
        <v>12.098327582197532</v>
      </c>
      <c r="D65" s="225">
        <f t="shared" ref="D65" si="9">SUM(D59:D64)</f>
        <v>7.1300805769653124</v>
      </c>
      <c r="E65" s="225">
        <f t="shared" ref="E65" si="10">SUM(E59:E64)</f>
        <v>1.3734278672867819</v>
      </c>
      <c r="F65" s="225">
        <f t="shared" ref="F65" si="11">SUM(F59:F64)</f>
        <v>0.47007804264367076</v>
      </c>
      <c r="G65" s="467">
        <f t="shared" ref="G65" si="12">SUM(G59:G64)</f>
        <v>25.53737234890081</v>
      </c>
      <c r="H65" s="213">
        <f t="shared" ref="H65" si="13">SUM(H59:H64)</f>
        <v>14032.656804689581</v>
      </c>
      <c r="I65" s="214">
        <f t="shared" ref="I65" si="14">SUM(I59:I64)</f>
        <v>0.14458098130792754</v>
      </c>
    </row>
    <row r="66" spans="1:9" ht="17.100000000000001" customHeight="1" x14ac:dyDescent="0.25">
      <c r="A66" s="486" t="s">
        <v>23</v>
      </c>
      <c r="B66" s="487"/>
      <c r="C66" s="487"/>
      <c r="D66" s="487"/>
      <c r="E66" s="487"/>
      <c r="F66" s="487"/>
      <c r="G66" s="487"/>
      <c r="H66" s="487"/>
      <c r="I66" s="488"/>
    </row>
    <row r="67" spans="1:9" ht="17.100000000000001" customHeight="1" x14ac:dyDescent="0.25">
      <c r="A67" s="482" t="s">
        <v>58</v>
      </c>
      <c r="B67" s="483"/>
      <c r="C67" s="215">
        <f t="shared" ref="C67:I67" si="15">C57+C65</f>
        <v>732.94122620042117</v>
      </c>
      <c r="D67" s="219">
        <f t="shared" si="15"/>
        <v>3243.3526842089286</v>
      </c>
      <c r="E67" s="215">
        <f t="shared" si="15"/>
        <v>155.07639922008445</v>
      </c>
      <c r="F67" s="219">
        <f t="shared" si="15"/>
        <v>2954.3506118204182</v>
      </c>
      <c r="G67" s="469">
        <f t="shared" si="15"/>
        <v>735.57155836444667</v>
      </c>
      <c r="H67" s="216">
        <f t="shared" si="15"/>
        <v>769315.3440442729</v>
      </c>
      <c r="I67" s="217">
        <f t="shared" si="15"/>
        <v>16.669043719639841</v>
      </c>
    </row>
    <row r="68" spans="1:9" ht="17.100000000000001" customHeight="1" thickBot="1" x14ac:dyDescent="0.3">
      <c r="A68" s="484" t="s">
        <v>59</v>
      </c>
      <c r="B68" s="485"/>
      <c r="C68" s="126" t="str">
        <f>IF(C67&gt;100,"Major","Minor")</f>
        <v>Major</v>
      </c>
      <c r="D68" s="126" t="str">
        <f t="shared" ref="D68" si="16">IF(D67&gt;100,"Major","Minor")</f>
        <v>Major</v>
      </c>
      <c r="E68" s="126" t="str">
        <f t="shared" ref="E68" si="17">IF(E67&gt;100,"Major","Minor")</f>
        <v>Major</v>
      </c>
      <c r="F68" s="126" t="str">
        <f t="shared" ref="F68:G68" si="18">IF(F67&gt;100,"Major","Minor")</f>
        <v>Major</v>
      </c>
      <c r="G68" s="126" t="str">
        <f t="shared" si="18"/>
        <v>Major</v>
      </c>
      <c r="H68" s="126" t="s">
        <v>7</v>
      </c>
      <c r="I68" s="230" t="s">
        <v>7</v>
      </c>
    </row>
    <row r="69" spans="1:9" ht="17.100000000000001" customHeight="1" x14ac:dyDescent="0.25"/>
    <row r="70" spans="1:9" ht="32.25" customHeight="1" x14ac:dyDescent="0.25">
      <c r="A70" s="472" t="s">
        <v>380</v>
      </c>
      <c r="B70" s="473"/>
      <c r="C70" s="473"/>
      <c r="D70" s="473"/>
      <c r="E70" s="473"/>
      <c r="F70" s="473"/>
      <c r="G70" s="473"/>
      <c r="H70" s="473"/>
      <c r="I70" s="473"/>
    </row>
    <row r="71" spans="1:9" ht="17.100000000000001" customHeight="1" x14ac:dyDescent="0.25">
      <c r="A71" s="473" t="str">
        <f>A2</f>
        <v>Hilcorp Alaska, LLC - Grayling Platform</v>
      </c>
      <c r="B71" s="473"/>
      <c r="C71" s="473"/>
      <c r="D71" s="473"/>
      <c r="E71" s="473"/>
      <c r="F71" s="473"/>
      <c r="G71" s="473"/>
      <c r="H71" s="473"/>
      <c r="I71" s="473"/>
    </row>
    <row r="72" spans="1:9" ht="17.100000000000001" customHeight="1" thickBot="1" x14ac:dyDescent="0.3"/>
    <row r="73" spans="1:9" ht="17.100000000000001" customHeight="1" x14ac:dyDescent="0.25">
      <c r="A73" s="479" t="s">
        <v>0</v>
      </c>
      <c r="B73" s="477" t="s">
        <v>205</v>
      </c>
      <c r="C73" s="477" t="s">
        <v>224</v>
      </c>
      <c r="D73" s="477"/>
      <c r="E73" s="477"/>
      <c r="F73" s="477"/>
      <c r="G73" s="477"/>
      <c r="H73" s="477"/>
      <c r="I73" s="481"/>
    </row>
    <row r="74" spans="1:9" ht="17.100000000000001" customHeight="1" thickBot="1" x14ac:dyDescent="0.3">
      <c r="A74" s="480"/>
      <c r="B74" s="478"/>
      <c r="C74" s="120" t="s">
        <v>53</v>
      </c>
      <c r="D74" s="120" t="s">
        <v>50</v>
      </c>
      <c r="E74" s="120" t="s">
        <v>54</v>
      </c>
      <c r="F74" s="120" t="s">
        <v>51</v>
      </c>
      <c r="G74" s="452" t="s">
        <v>375</v>
      </c>
      <c r="H74" s="120" t="s">
        <v>55</v>
      </c>
      <c r="I74" s="121" t="s">
        <v>52</v>
      </c>
    </row>
    <row r="75" spans="1:9" ht="17.100000000000001" customHeight="1" thickTop="1" x14ac:dyDescent="0.25">
      <c r="A75" s="474" t="s">
        <v>206</v>
      </c>
      <c r="B75" s="475"/>
      <c r="C75" s="475"/>
      <c r="D75" s="475"/>
      <c r="E75" s="475"/>
      <c r="F75" s="475"/>
      <c r="G75" s="475"/>
      <c r="H75" s="475"/>
      <c r="I75" s="476"/>
    </row>
    <row r="76" spans="1:9" ht="17.100000000000001" customHeight="1" x14ac:dyDescent="0.25">
      <c r="A76" s="123">
        <f t="shared" ref="A76:B90" si="19">A7</f>
        <v>1</v>
      </c>
      <c r="B76" s="125" t="str">
        <f t="shared" si="19"/>
        <v>Solar Centaur T4500</v>
      </c>
      <c r="C76" s="224">
        <f>NOx!S5</f>
        <v>18.381744277739994</v>
      </c>
      <c r="D76" s="224">
        <f>CO!S5</f>
        <v>2.23875</v>
      </c>
      <c r="E76" s="224">
        <f>'PM-10'!S5</f>
        <v>0.39717216000000005</v>
      </c>
      <c r="F76" s="224">
        <f>VOC!S5</f>
        <v>0.12637295999999998</v>
      </c>
      <c r="G76" s="468">
        <f>'SO2'!S5</f>
        <v>6.4845678264032012</v>
      </c>
      <c r="H76" s="211">
        <f>CO2e!AH5</f>
        <v>7046.673618546778</v>
      </c>
      <c r="I76" s="227">
        <f>'Sig. HAPs Summary'!C56</f>
        <v>6.1822253808000001E-2</v>
      </c>
    </row>
    <row r="77" spans="1:9" ht="17.100000000000001" customHeight="1" x14ac:dyDescent="0.25">
      <c r="A77" s="123">
        <f t="shared" si="19"/>
        <v>3</v>
      </c>
      <c r="B77" s="125" t="str">
        <f t="shared" si="19"/>
        <v>Solar Centaur T4500</v>
      </c>
      <c r="C77" s="224">
        <f>NOx!S6</f>
        <v>14.588392694795996</v>
      </c>
      <c r="D77" s="224">
        <f>CO!S6</f>
        <v>1.7767500000000001</v>
      </c>
      <c r="E77" s="224">
        <f>'PM-10'!S6</f>
        <v>0.31520966400000006</v>
      </c>
      <c r="F77" s="224">
        <f>VOC!S6</f>
        <v>0.10029398399999999</v>
      </c>
      <c r="G77" s="468">
        <f>'SO2'!S6</f>
        <v>5.1463789550248515</v>
      </c>
      <c r="H77" s="211">
        <f>CO2e!AH6</f>
        <v>5592.4856959253993</v>
      </c>
      <c r="I77" s="227">
        <f>'Sig. HAPs Summary'!D56</f>
        <v>4.9064294563200002E-2</v>
      </c>
    </row>
    <row r="78" spans="1:9" ht="17.100000000000001" customHeight="1" x14ac:dyDescent="0.25">
      <c r="A78" s="123" t="str">
        <f t="shared" si="19"/>
        <v>4a</v>
      </c>
      <c r="B78" s="125" t="str">
        <f t="shared" si="19"/>
        <v>Solar Centaur T4500</v>
      </c>
      <c r="C78" s="224">
        <f>NOx!S7</f>
        <v>52.725123787607984</v>
      </c>
      <c r="D78" s="224">
        <f>CO!S7</f>
        <v>6.4215</v>
      </c>
      <c r="E78" s="224">
        <f>'PM-10'!S7</f>
        <v>1.1392254720000001</v>
      </c>
      <c r="F78" s="224">
        <f>VOC!S7</f>
        <v>0.36248083199999998</v>
      </c>
      <c r="G78" s="468">
        <f>'SO2'!S7</f>
        <v>18.599956358346464</v>
      </c>
      <c r="H78" s="211">
        <f>CO2e!AH7</f>
        <v>20212.26784656533</v>
      </c>
      <c r="I78" s="228">
        <f>'Sig. HAPs Summary'!E56</f>
        <v>0.17732734911360001</v>
      </c>
    </row>
    <row r="79" spans="1:9" ht="17.100000000000001" customHeight="1" x14ac:dyDescent="0.25">
      <c r="A79" s="123">
        <f t="shared" si="19"/>
        <v>14</v>
      </c>
      <c r="B79" s="125" t="str">
        <f t="shared" si="19"/>
        <v>Solar Saturn T1200</v>
      </c>
      <c r="C79" s="125">
        <f>NOx!S8</f>
        <v>0</v>
      </c>
      <c r="D79" s="125">
        <f>CO!S8</f>
        <v>0</v>
      </c>
      <c r="E79" s="125">
        <f>'PM-10'!S8</f>
        <v>0</v>
      </c>
      <c r="F79" s="125">
        <f>VOC!S8</f>
        <v>0</v>
      </c>
      <c r="G79" s="470">
        <f>'SO2'!S8</f>
        <v>0</v>
      </c>
      <c r="H79" s="125">
        <f>CO2e!AH8</f>
        <v>0</v>
      </c>
      <c r="I79" s="218">
        <f>'Sig. HAPs Summary'!F56</f>
        <v>0</v>
      </c>
    </row>
    <row r="80" spans="1:9" ht="17.100000000000001" customHeight="1" x14ac:dyDescent="0.25">
      <c r="A80" s="123">
        <f t="shared" si="19"/>
        <v>15</v>
      </c>
      <c r="B80" s="125" t="str">
        <f t="shared" si="19"/>
        <v>Solar Saturn T1200</v>
      </c>
      <c r="C80" s="224">
        <f>NOx!S9</f>
        <v>2.2465950000000001</v>
      </c>
      <c r="D80" s="224">
        <f>CO!S9</f>
        <v>1.9108050000000001</v>
      </c>
      <c r="E80" s="226">
        <f>'PM-10'!S9</f>
        <v>6.8056765919999998E-2</v>
      </c>
      <c r="F80" s="226">
        <f>VOC!S9</f>
        <v>2.1654425519999996E-2</v>
      </c>
      <c r="G80" s="468">
        <f>'SO2'!S9</f>
        <v>1.1111521881440176</v>
      </c>
      <c r="H80" s="211">
        <f>CO2e!AH9</f>
        <v>1207.4708785532132</v>
      </c>
      <c r="I80" s="227">
        <f>'Sig. HAPs Summary'!G56</f>
        <v>1.0593448080696E-2</v>
      </c>
    </row>
    <row r="81" spans="1:9" ht="17.100000000000001" customHeight="1" x14ac:dyDescent="0.25">
      <c r="A81" s="123">
        <f t="shared" si="19"/>
        <v>16</v>
      </c>
      <c r="B81" s="125" t="str">
        <f t="shared" si="19"/>
        <v>Solar Saturn T1200</v>
      </c>
      <c r="C81" s="224">
        <f>NOx!S10</f>
        <v>2.6245400000000001</v>
      </c>
      <c r="D81" s="224">
        <f>CO!S10</f>
        <v>2.2322600000000001</v>
      </c>
      <c r="E81" s="226">
        <f>'PM-10'!S10</f>
        <v>7.4536842599999986E-2</v>
      </c>
      <c r="F81" s="226">
        <f>VOC!S10</f>
        <v>2.3716268099999993E-2</v>
      </c>
      <c r="G81" s="468">
        <f>'SO2'!S10</f>
        <v>1.2169513880470362</v>
      </c>
      <c r="H81" s="211">
        <f>CO2e!AH10</f>
        <v>1322.4411357512915</v>
      </c>
      <c r="I81" s="227">
        <f>'Sig. HAPs Summary'!H56</f>
        <v>1.1602111289129998E-2</v>
      </c>
    </row>
    <row r="82" spans="1:9" ht="17.100000000000001" customHeight="1" x14ac:dyDescent="0.25">
      <c r="A82" s="123">
        <f t="shared" si="19"/>
        <v>17</v>
      </c>
      <c r="B82" s="125" t="str">
        <f t="shared" si="19"/>
        <v>Solar Saturn T1200</v>
      </c>
      <c r="C82" s="224">
        <f>NOx!S11</f>
        <v>1.81996</v>
      </c>
      <c r="D82" s="224">
        <f>CO!S11</f>
        <v>1.5500800000000001</v>
      </c>
      <c r="E82" s="226">
        <f>'PM-10'!S11</f>
        <v>5.8905918720000006E-2</v>
      </c>
      <c r="F82" s="226">
        <f>VOC!S11</f>
        <v>1.8742792319999996E-2</v>
      </c>
      <c r="G82" s="468">
        <f>'SO2'!S11</f>
        <v>0.96174773507899969</v>
      </c>
      <c r="H82" s="211">
        <f>CO2e!AH11</f>
        <v>1045.1155071404924</v>
      </c>
      <c r="I82" s="227">
        <f>'Sig. HAPs Summary'!I56</f>
        <v>9.169063254336E-3</v>
      </c>
    </row>
    <row r="83" spans="1:9" ht="17.100000000000001" customHeight="1" x14ac:dyDescent="0.25">
      <c r="A83" s="123">
        <f t="shared" si="19"/>
        <v>18</v>
      </c>
      <c r="B83" s="125" t="str">
        <f t="shared" si="19"/>
        <v>Solar Saturn T1200</v>
      </c>
      <c r="C83" s="224">
        <f>NOx!S12</f>
        <v>1.9389000000000001</v>
      </c>
      <c r="D83" s="224">
        <f>CO!S12</f>
        <v>1.6491000000000002</v>
      </c>
      <c r="E83" s="226">
        <f>'PM-10'!S12</f>
        <v>5.8735670400000002E-2</v>
      </c>
      <c r="F83" s="226">
        <f>VOC!S12</f>
        <v>1.8688622399999997E-2</v>
      </c>
      <c r="G83" s="468">
        <f>'SO2'!S12</f>
        <v>0.95896811734755749</v>
      </c>
      <c r="H83" s="211">
        <f>CO2e!AH12</f>
        <v>1042.0949420909533</v>
      </c>
      <c r="I83" s="227">
        <f>'Sig. HAPs Summary'!J56</f>
        <v>9.1425630715199994E-3</v>
      </c>
    </row>
    <row r="84" spans="1:9" ht="17.100000000000001" customHeight="1" x14ac:dyDescent="0.25">
      <c r="A84" s="123">
        <f t="shared" si="19"/>
        <v>28</v>
      </c>
      <c r="B84" s="125" t="str">
        <f t="shared" si="19"/>
        <v>Flare (South)</v>
      </c>
      <c r="C84" s="491">
        <f>NOx!S13</f>
        <v>1.7229871620000001</v>
      </c>
      <c r="D84" s="491">
        <f>CO!S13</f>
        <v>7.8547944150000006</v>
      </c>
      <c r="E84" s="491">
        <f>'PM-10'!S13</f>
        <v>0.66892442760000004</v>
      </c>
      <c r="F84" s="491">
        <f>VOC!S13</f>
        <v>28.453421424058966</v>
      </c>
      <c r="G84" s="499">
        <f>'SO2'!S13</f>
        <v>2.7303561643835614</v>
      </c>
      <c r="H84" s="501">
        <f>CO2e!AH13</f>
        <v>2967.0333116817806</v>
      </c>
      <c r="I84" s="497">
        <f>'Sig. HAPs Summary'!O56</f>
        <v>7.3622347499999991E-2</v>
      </c>
    </row>
    <row r="85" spans="1:9" ht="17.100000000000001" customHeight="1" x14ac:dyDescent="0.25">
      <c r="A85" s="123">
        <f t="shared" si="19"/>
        <v>29</v>
      </c>
      <c r="B85" s="125" t="str">
        <f t="shared" si="19"/>
        <v>Flare (SW)</v>
      </c>
      <c r="C85" s="492"/>
      <c r="D85" s="492"/>
      <c r="E85" s="492"/>
      <c r="F85" s="492"/>
      <c r="G85" s="500"/>
      <c r="H85" s="502"/>
      <c r="I85" s="498"/>
    </row>
    <row r="86" spans="1:9" ht="17.100000000000001" customHeight="1" x14ac:dyDescent="0.25">
      <c r="A86" s="123">
        <f t="shared" si="19"/>
        <v>31</v>
      </c>
      <c r="B86" s="125" t="str">
        <f t="shared" si="19"/>
        <v>Solar Taurus 60 T-7300S</v>
      </c>
      <c r="C86" s="224">
        <f>SUM(NOx!S15:S16)</f>
        <v>19.141892000000002</v>
      </c>
      <c r="D86" s="224">
        <f>CO!S15+CO!S16</f>
        <v>35.606270000000059</v>
      </c>
      <c r="E86" s="224">
        <f>'PM-10'!S15</f>
        <v>1.9091515211168402</v>
      </c>
      <c r="F86" s="224">
        <f>VOC!S15</f>
        <v>0.60700431387959997</v>
      </c>
      <c r="G86" s="468">
        <f>'SO2'!S15</f>
        <v>31.147174555946179</v>
      </c>
      <c r="H86" s="211">
        <f>CO2e!AH15</f>
        <v>33722.289598403207</v>
      </c>
      <c r="I86" s="228">
        <f>'Sig. HAPs Summary'!P56</f>
        <v>0.29717100487711556</v>
      </c>
    </row>
    <row r="87" spans="1:9" ht="17.100000000000001" customHeight="1" x14ac:dyDescent="0.25">
      <c r="A87" s="123">
        <f t="shared" si="19"/>
        <v>24</v>
      </c>
      <c r="B87" s="125" t="str">
        <f t="shared" si="19"/>
        <v>Caterpillar 3406</v>
      </c>
      <c r="C87" s="224">
        <f>NOx!S17</f>
        <v>0.81157999999999997</v>
      </c>
      <c r="D87" s="224">
        <f>CO!S17</f>
        <v>0.17488239999999997</v>
      </c>
      <c r="E87" s="226">
        <f>'PM-10'!S16</f>
        <v>5.7596000000000008E-2</v>
      </c>
      <c r="F87" s="226">
        <f>VOC!S16</f>
        <v>6.4664600000000003E-2</v>
      </c>
      <c r="G87" s="226">
        <f>'SO2'!S16</f>
        <v>9.3636496350364959E-2</v>
      </c>
      <c r="H87" s="211">
        <f>CO2e!AH16</f>
        <v>29.983760118564557</v>
      </c>
      <c r="I87" s="227">
        <f>'Sig. HAPs Summary'!K56</f>
        <v>7.0987593599999995E-4</v>
      </c>
    </row>
    <row r="88" spans="1:9" ht="17.100000000000001" customHeight="1" x14ac:dyDescent="0.25">
      <c r="A88" s="123">
        <f t="shared" si="19"/>
        <v>25</v>
      </c>
      <c r="B88" s="125" t="str">
        <f t="shared" si="19"/>
        <v>Caterpillar 3208</v>
      </c>
      <c r="C88" s="224">
        <f>NOx!S18</f>
        <v>1.9762500000000001</v>
      </c>
      <c r="D88" s="224">
        <f>CO!S18</f>
        <v>0.42584999999999995</v>
      </c>
      <c r="E88" s="224">
        <f>'PM-10'!S17</f>
        <v>0.14025000000000001</v>
      </c>
      <c r="F88" s="224">
        <f>VOC!S17</f>
        <v>0.15746249999999998</v>
      </c>
      <c r="G88" s="224">
        <f>'SO2'!S17</f>
        <v>0.22801094890510951</v>
      </c>
      <c r="H88" s="211">
        <f>CO2e!AH17</f>
        <v>73.012402886114998</v>
      </c>
      <c r="I88" s="227">
        <f>'Sig. HAPs Summary'!L56</f>
        <v>1.728594E-3</v>
      </c>
    </row>
    <row r="89" spans="1:9" ht="17.100000000000001" customHeight="1" x14ac:dyDescent="0.25">
      <c r="A89" s="123" t="str">
        <f t="shared" si="19"/>
        <v>26a</v>
      </c>
      <c r="B89" s="125" t="str">
        <f t="shared" si="19"/>
        <v>Detroit Diesel Series 60 6063HV35</v>
      </c>
      <c r="C89" s="226">
        <f>NOx!S19</f>
        <v>2.6746072733679965E-3</v>
      </c>
      <c r="D89" s="226">
        <f>CO!S19</f>
        <v>2.463454067575786E-3</v>
      </c>
      <c r="E89" s="226">
        <f>'PM-10'!S18</f>
        <v>1.407688038614735E-4</v>
      </c>
      <c r="F89" s="226">
        <f>VOC!S18</f>
        <v>1.407688038614735E-4</v>
      </c>
      <c r="G89" s="226">
        <f>'SO2'!S18</f>
        <v>1.2250000000000002E-3</v>
      </c>
      <c r="H89" s="231">
        <f>CO2e!AH18</f>
        <v>0.39226271354501002</v>
      </c>
      <c r="I89" s="227">
        <f>'Sig. HAPs Summary'!M56</f>
        <v>3.7724974175000003E-6</v>
      </c>
    </row>
    <row r="90" spans="1:9" ht="17.100000000000001" customHeight="1" x14ac:dyDescent="0.25">
      <c r="A90" s="123">
        <f t="shared" si="19"/>
        <v>27</v>
      </c>
      <c r="B90" s="125" t="str">
        <f t="shared" si="19"/>
        <v>Caterpillar D-330C</v>
      </c>
      <c r="C90" s="226">
        <f>NOx!S20</f>
        <v>2.5691249999999999E-2</v>
      </c>
      <c r="D90" s="226">
        <f>CO!S20</f>
        <v>5.536049999999999E-3</v>
      </c>
      <c r="E90" s="226">
        <f>'PM-10'!S19</f>
        <v>1.8232500000000002E-3</v>
      </c>
      <c r="F90" s="226">
        <f>VOC!S19</f>
        <v>2.0470125000000001E-3</v>
      </c>
      <c r="G90" s="226">
        <f>'SO2'!S19</f>
        <v>2.9641423357664233E-3</v>
      </c>
      <c r="H90" s="231">
        <f>CO2e!AH19</f>
        <v>0.94916123751949488</v>
      </c>
      <c r="I90" s="227">
        <f>'Sig. HAPs Summary'!N56</f>
        <v>2.2471722000000001E-5</v>
      </c>
    </row>
    <row r="91" spans="1:9" ht="17.100000000000001" customHeight="1" x14ac:dyDescent="0.25">
      <c r="A91" s="489" t="s">
        <v>56</v>
      </c>
      <c r="B91" s="490"/>
      <c r="C91" s="225">
        <f t="shared" ref="C91:I91" si="20">SUM(C76:C90)</f>
        <v>118.00633077941733</v>
      </c>
      <c r="D91" s="225">
        <f t="shared" si="20"/>
        <v>61.849041319067638</v>
      </c>
      <c r="E91" s="225">
        <f t="shared" si="20"/>
        <v>4.8897284611607024</v>
      </c>
      <c r="F91" s="225">
        <f t="shared" si="20"/>
        <v>29.956690503582426</v>
      </c>
      <c r="G91" s="467">
        <f t="shared" si="20"/>
        <v>68.683089876313133</v>
      </c>
      <c r="H91" s="213">
        <f t="shared" si="20"/>
        <v>74262.210121614189</v>
      </c>
      <c r="I91" s="229">
        <f t="shared" si="20"/>
        <v>0.70197914971301512</v>
      </c>
    </row>
    <row r="92" spans="1:9" ht="17.100000000000001" customHeight="1" x14ac:dyDescent="0.25">
      <c r="A92" s="486" t="s">
        <v>207</v>
      </c>
      <c r="B92" s="487"/>
      <c r="C92" s="487"/>
      <c r="D92" s="487"/>
      <c r="E92" s="487"/>
      <c r="F92" s="487"/>
      <c r="G92" s="487"/>
      <c r="H92" s="487"/>
      <c r="I92" s="488"/>
    </row>
    <row r="93" spans="1:9" ht="17.100000000000001" customHeight="1" x14ac:dyDescent="0.25">
      <c r="A93" s="123" t="str">
        <f t="shared" ref="A93:B98" si="21">A24</f>
        <v>N/A</v>
      </c>
      <c r="B93" s="125" t="str">
        <f t="shared" si="21"/>
        <v>Clayton ROG-60-1 Boiler</v>
      </c>
      <c r="C93" s="224">
        <f t="shared" ref="C93:I98" si="22">C59</f>
        <v>1.0766961651917404</v>
      </c>
      <c r="D93" s="224">
        <f t="shared" si="22"/>
        <v>0.90442477876106198</v>
      </c>
      <c r="E93" s="226">
        <f t="shared" si="22"/>
        <v>8.1828908554572269E-2</v>
      </c>
      <c r="F93" s="226">
        <f t="shared" si="22"/>
        <v>5.9218289085545724E-2</v>
      </c>
      <c r="G93" s="468">
        <f t="shared" si="22"/>
        <v>1.1799410029498527</v>
      </c>
      <c r="H93" s="211">
        <f t="shared" si="22"/>
        <v>1282.2109244759999</v>
      </c>
      <c r="I93" s="227">
        <f t="shared" si="22"/>
        <v>2.0332957020648967E-2</v>
      </c>
    </row>
    <row r="94" spans="1:9" ht="17.100000000000001" customHeight="1" x14ac:dyDescent="0.25">
      <c r="A94" s="123" t="str">
        <f t="shared" si="21"/>
        <v>N/A</v>
      </c>
      <c r="B94" s="125" t="str">
        <f t="shared" si="21"/>
        <v>Portable Space Heaters</v>
      </c>
      <c r="C94" s="224">
        <f t="shared" si="22"/>
        <v>5.1153284671532848</v>
      </c>
      <c r="D94" s="224">
        <f t="shared" si="22"/>
        <v>1.2788321167883212</v>
      </c>
      <c r="E94" s="224">
        <f t="shared" si="22"/>
        <v>0.844029197080292</v>
      </c>
      <c r="F94" s="226">
        <f t="shared" si="22"/>
        <v>8.6960583941605843E-2</v>
      </c>
      <c r="G94" s="224">
        <f t="shared" si="22"/>
        <v>17.903649635036498</v>
      </c>
      <c r="H94" s="211">
        <f t="shared" si="22"/>
        <v>5732.9554915392</v>
      </c>
      <c r="I94" s="227">
        <f t="shared" si="22"/>
        <v>1.3035289226277376E-2</v>
      </c>
    </row>
    <row r="95" spans="1:9" ht="17.100000000000001" customHeight="1" x14ac:dyDescent="0.25">
      <c r="A95" s="123" t="str">
        <f t="shared" si="21"/>
        <v>N/A</v>
      </c>
      <c r="B95" s="125" t="str">
        <f t="shared" si="21"/>
        <v>Clayton Sigma Fire</v>
      </c>
      <c r="C95" s="224">
        <f t="shared" si="22"/>
        <v>0.72093421828908566</v>
      </c>
      <c r="D95" s="224">
        <f t="shared" si="22"/>
        <v>0.60558474336283175</v>
      </c>
      <c r="E95" s="226">
        <f t="shared" si="22"/>
        <v>5.4791000589970495E-2</v>
      </c>
      <c r="F95" s="226">
        <f t="shared" si="22"/>
        <v>3.9651382005899703E-2</v>
      </c>
      <c r="G95" s="468">
        <f t="shared" si="22"/>
        <v>0.79006489675516223</v>
      </c>
      <c r="H95" s="211">
        <f t="shared" si="22"/>
        <v>862.87795118958172</v>
      </c>
      <c r="I95" s="227">
        <f t="shared" si="22"/>
        <v>1.3614541361886136E-2</v>
      </c>
    </row>
    <row r="96" spans="1:9" ht="17.100000000000001" customHeight="1" x14ac:dyDescent="0.25">
      <c r="A96" s="123" t="str">
        <f t="shared" si="21"/>
        <v>19a</v>
      </c>
      <c r="B96" s="125" t="str">
        <f t="shared" si="21"/>
        <v>Riello AR 400 Boiler</v>
      </c>
      <c r="C96" s="224">
        <f t="shared" si="22"/>
        <v>1.7227138643067847</v>
      </c>
      <c r="D96" s="224">
        <f t="shared" si="22"/>
        <v>1.4470796460176991</v>
      </c>
      <c r="E96" s="224">
        <f t="shared" si="22"/>
        <v>0.13092625368731564</v>
      </c>
      <c r="F96" s="226">
        <f t="shared" si="22"/>
        <v>9.4749262536873158E-2</v>
      </c>
      <c r="G96" s="468">
        <f t="shared" si="22"/>
        <v>1.8879056047197642</v>
      </c>
      <c r="H96" s="211">
        <f t="shared" si="22"/>
        <v>2051.5374791616</v>
      </c>
      <c r="I96" s="227">
        <f t="shared" si="22"/>
        <v>3.2532731233038355E-2</v>
      </c>
    </row>
    <row r="97" spans="1:9" ht="17.100000000000001" customHeight="1" x14ac:dyDescent="0.25">
      <c r="A97" s="123" t="str">
        <f t="shared" si="21"/>
        <v>19b</v>
      </c>
      <c r="B97" s="125" t="str">
        <f t="shared" si="21"/>
        <v>Riello AR 400 Boiler</v>
      </c>
      <c r="C97" s="224">
        <f t="shared" si="22"/>
        <v>1.7227138643067847</v>
      </c>
      <c r="D97" s="224">
        <f t="shared" si="22"/>
        <v>1.4470796460176991</v>
      </c>
      <c r="E97" s="224">
        <f t="shared" si="22"/>
        <v>0.13092625368731564</v>
      </c>
      <c r="F97" s="226">
        <f t="shared" si="22"/>
        <v>9.4749262536873158E-2</v>
      </c>
      <c r="G97" s="468">
        <f t="shared" si="22"/>
        <v>1.8879056047197642</v>
      </c>
      <c r="H97" s="211">
        <f t="shared" si="22"/>
        <v>2051.5374791616</v>
      </c>
      <c r="I97" s="227">
        <f t="shared" si="22"/>
        <v>3.2532731233038355E-2</v>
      </c>
    </row>
    <row r="98" spans="1:9" ht="17.100000000000001" customHeight="1" x14ac:dyDescent="0.25">
      <c r="A98" s="123" t="str">
        <f t="shared" si="21"/>
        <v>20a</v>
      </c>
      <c r="B98" s="125" t="str">
        <f t="shared" si="21"/>
        <v>Riello AR 400 Boiler</v>
      </c>
      <c r="C98" s="224">
        <f t="shared" si="22"/>
        <v>1.7399410029498525</v>
      </c>
      <c r="D98" s="224">
        <f t="shared" si="22"/>
        <v>1.4470796460176991</v>
      </c>
      <c r="E98" s="224">
        <f t="shared" si="22"/>
        <v>0.13092625368731564</v>
      </c>
      <c r="F98" s="226">
        <f t="shared" si="22"/>
        <v>9.4749262536873158E-2</v>
      </c>
      <c r="G98" s="468">
        <f t="shared" si="22"/>
        <v>1.8879056047197642</v>
      </c>
      <c r="H98" s="211">
        <f t="shared" si="22"/>
        <v>2051.5374791616</v>
      </c>
      <c r="I98" s="227">
        <f t="shared" si="22"/>
        <v>3.2532731233038355E-2</v>
      </c>
    </row>
    <row r="99" spans="1:9" ht="17.100000000000001" customHeight="1" x14ac:dyDescent="0.25">
      <c r="A99" s="489" t="s">
        <v>57</v>
      </c>
      <c r="B99" s="490"/>
      <c r="C99" s="225">
        <f>SUM(C93:C98)</f>
        <v>12.098327582197532</v>
      </c>
      <c r="D99" s="225">
        <f t="shared" ref="D99" si="23">SUM(D93:D98)</f>
        <v>7.1300805769653124</v>
      </c>
      <c r="E99" s="225">
        <f t="shared" ref="E99" si="24">SUM(E93:E98)</f>
        <v>1.3734278672867819</v>
      </c>
      <c r="F99" s="225">
        <f t="shared" ref="F99" si="25">SUM(F93:F98)</f>
        <v>0.47007804264367076</v>
      </c>
      <c r="G99" s="467">
        <f t="shared" ref="G99" si="26">SUM(G93:G98)</f>
        <v>25.53737234890081</v>
      </c>
      <c r="H99" s="213">
        <f t="shared" ref="H99" si="27">SUM(H93:H98)</f>
        <v>14032.656804689581</v>
      </c>
      <c r="I99" s="229">
        <f t="shared" ref="I99" si="28">SUM(I93:I98)</f>
        <v>0.14458098130792754</v>
      </c>
    </row>
    <row r="100" spans="1:9" ht="17.100000000000001" customHeight="1" x14ac:dyDescent="0.25">
      <c r="A100" s="486" t="s">
        <v>23</v>
      </c>
      <c r="B100" s="487"/>
      <c r="C100" s="487"/>
      <c r="D100" s="487"/>
      <c r="E100" s="487"/>
      <c r="F100" s="487"/>
      <c r="G100" s="487"/>
      <c r="H100" s="487"/>
      <c r="I100" s="488"/>
    </row>
    <row r="101" spans="1:9" ht="17.100000000000001" customHeight="1" thickBot="1" x14ac:dyDescent="0.3">
      <c r="A101" s="495" t="s">
        <v>58</v>
      </c>
      <c r="B101" s="496"/>
      <c r="C101" s="220">
        <f t="shared" ref="C101:I101" si="29">C91+C99</f>
        <v>130.10465836161487</v>
      </c>
      <c r="D101" s="221">
        <f t="shared" si="29"/>
        <v>68.97912189603295</v>
      </c>
      <c r="E101" s="220">
        <f t="shared" si="29"/>
        <v>6.2631563284474847</v>
      </c>
      <c r="F101" s="221">
        <f t="shared" si="29"/>
        <v>30.426768546226096</v>
      </c>
      <c r="G101" s="471">
        <f t="shared" si="29"/>
        <v>94.220462225213936</v>
      </c>
      <c r="H101" s="222">
        <f t="shared" si="29"/>
        <v>88294.866926303774</v>
      </c>
      <c r="I101" s="223">
        <f t="shared" si="29"/>
        <v>0.84656013102094263</v>
      </c>
    </row>
  </sheetData>
  <mergeCells count="58">
    <mergeCell ref="A36:I36"/>
    <mergeCell ref="A37:I37"/>
    <mergeCell ref="A41:I41"/>
    <mergeCell ref="C50:C51"/>
    <mergeCell ref="D50:D51"/>
    <mergeCell ref="G50:G51"/>
    <mergeCell ref="H50:H51"/>
    <mergeCell ref="A32:B32"/>
    <mergeCell ref="A33:B33"/>
    <mergeCell ref="A34:B34"/>
    <mergeCell ref="C34:I34"/>
    <mergeCell ref="F15:F16"/>
    <mergeCell ref="C15:C16"/>
    <mergeCell ref="D15:D16"/>
    <mergeCell ref="A31:I31"/>
    <mergeCell ref="A23:I23"/>
    <mergeCell ref="H15:H16"/>
    <mergeCell ref="I15:I16"/>
    <mergeCell ref="A22:B22"/>
    <mergeCell ref="A30:B30"/>
    <mergeCell ref="E15:E16"/>
    <mergeCell ref="G7:G17"/>
    <mergeCell ref="A75:I75"/>
    <mergeCell ref="A91:B91"/>
    <mergeCell ref="A99:B99"/>
    <mergeCell ref="A101:B101"/>
    <mergeCell ref="A92:I92"/>
    <mergeCell ref="A100:I100"/>
    <mergeCell ref="F84:F85"/>
    <mergeCell ref="C84:C85"/>
    <mergeCell ref="D84:D85"/>
    <mergeCell ref="E84:E85"/>
    <mergeCell ref="I84:I85"/>
    <mergeCell ref="G84:G85"/>
    <mergeCell ref="H84:H85"/>
    <mergeCell ref="A58:I58"/>
    <mergeCell ref="A66:I66"/>
    <mergeCell ref="A57:B57"/>
    <mergeCell ref="A65:B65"/>
    <mergeCell ref="B39:B40"/>
    <mergeCell ref="A39:A40"/>
    <mergeCell ref="C39:I39"/>
    <mergeCell ref="E50:E51"/>
    <mergeCell ref="I50:I51"/>
    <mergeCell ref="F50:F51"/>
    <mergeCell ref="A73:A74"/>
    <mergeCell ref="B73:B74"/>
    <mergeCell ref="A70:I70"/>
    <mergeCell ref="A71:I71"/>
    <mergeCell ref="A67:B67"/>
    <mergeCell ref="A68:B68"/>
    <mergeCell ref="C73:I73"/>
    <mergeCell ref="A1:I1"/>
    <mergeCell ref="A2:I2"/>
    <mergeCell ref="A6:I6"/>
    <mergeCell ref="B4:B5"/>
    <mergeCell ref="A4:A5"/>
    <mergeCell ref="C4:I4"/>
  </mergeCells>
  <printOptions horizontalCentered="1"/>
  <pageMargins left="0.5" right="0.5" top="0.5" bottom="1" header="0.3" footer="0.3"/>
  <pageSetup scale="87" fitToHeight="3" orientation="landscape" r:id="rId1"/>
  <headerFooter scaleWithDoc="0">
    <oddFooter>&amp;L&amp;"Arial,Regular"&amp;9Hilcorp Alaska, LLC
Grayling Platform
Fuel Gas H&amp;Y2&amp;YS Increase Project&amp;C&amp;"Arial,Regular"&amp;9Page D-&amp;P&amp;R&amp;"Arial,Regular"&amp;9October 2023</oddFooter>
  </headerFooter>
  <rowBreaks count="2" manualBreakCount="2">
    <brk id="35" max="16383" man="1"/>
    <brk id="6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AE421-A50C-4F48-B305-C70EB1C7C83B}">
  <dimension ref="A1:AP56"/>
  <sheetViews>
    <sheetView view="pageBreakPreview" topLeftCell="A15" zoomScale="90" zoomScaleNormal="100" zoomScaleSheetLayoutView="90" workbookViewId="0">
      <selection activeCell="B40" sqref="B40"/>
    </sheetView>
  </sheetViews>
  <sheetFormatPr defaultColWidth="9.140625" defaultRowHeight="12.75" x14ac:dyDescent="0.2"/>
  <cols>
    <col min="1" max="1" width="6.7109375" style="1" customWidth="1"/>
    <col min="2" max="2" width="30.7109375" style="1" customWidth="1"/>
    <col min="3" max="5" width="10.7109375" style="1" customWidth="1"/>
    <col min="6" max="11" width="10.7109375" style="1" hidden="1" customWidth="1"/>
    <col min="12" max="12" width="10.7109375" style="1" customWidth="1"/>
    <col min="13" max="13" width="7.7109375" style="1" customWidth="1"/>
    <col min="14" max="14" width="10.7109375" style="1" customWidth="1"/>
    <col min="15" max="15" width="7.7109375" style="1" customWidth="1"/>
    <col min="16" max="16" width="10.7109375" style="1" customWidth="1"/>
    <col min="17" max="17" width="7.7109375" style="1" customWidth="1"/>
    <col min="18" max="18" width="10.7109375" style="1" customWidth="1"/>
    <col min="19" max="19" width="7.7109375" style="1" customWidth="1"/>
    <col min="20" max="20" width="10.7109375" style="1" customWidth="1"/>
    <col min="21" max="21" width="7.7109375" style="1" customWidth="1"/>
    <col min="22" max="22" width="10.7109375" style="1" customWidth="1"/>
    <col min="23" max="23" width="7.7109375" style="1" customWidth="1"/>
    <col min="24" max="24" width="10.7109375" style="1" customWidth="1"/>
    <col min="25" max="25" width="7.7109375" style="1" customWidth="1"/>
    <col min="26" max="26" width="10.7109375" style="1" customWidth="1"/>
    <col min="27" max="27" width="7.7109375" style="1" customWidth="1"/>
    <col min="28" max="28" width="10.7109375" style="1" customWidth="1"/>
    <col min="29" max="29" width="7.7109375" style="1" customWidth="1"/>
    <col min="30" max="30" width="10.7109375" style="1" customWidth="1"/>
    <col min="31" max="31" width="7.7109375" style="1" customWidth="1"/>
    <col min="32" max="32" width="10.7109375" style="1" customWidth="1"/>
    <col min="33" max="33" width="7.7109375" style="1" customWidth="1"/>
    <col min="34" max="34" width="10.7109375" style="1" customWidth="1"/>
    <col min="35" max="36" width="7.7109375" style="1" customWidth="1"/>
    <col min="37" max="37" width="9" style="1" bestFit="1" customWidth="1"/>
    <col min="38" max="38" width="7.7109375" style="1" customWidth="1"/>
    <col min="39" max="39" width="9" style="1" bestFit="1" customWidth="1"/>
    <col min="40" max="40" width="7.7109375" style="1" customWidth="1"/>
    <col min="41" max="16384" width="9.140625" style="1"/>
  </cols>
  <sheetData>
    <row r="1" spans="1:42" ht="17.100000000000001" customHeight="1" x14ac:dyDescent="0.25">
      <c r="A1" s="517" t="s">
        <v>222</v>
      </c>
      <c r="B1" s="517"/>
      <c r="C1" s="517"/>
      <c r="D1" s="517"/>
      <c r="E1" s="517"/>
      <c r="F1" s="517"/>
      <c r="G1" s="517"/>
      <c r="H1" s="517"/>
      <c r="I1" s="517"/>
      <c r="J1" s="517"/>
      <c r="K1" s="517"/>
      <c r="L1" s="517"/>
      <c r="M1" s="517"/>
      <c r="N1" s="517"/>
      <c r="O1" s="517"/>
      <c r="P1" s="517"/>
      <c r="Q1" s="517"/>
      <c r="R1" s="517"/>
      <c r="S1" s="517"/>
      <c r="T1" s="517"/>
      <c r="U1" s="517"/>
      <c r="V1" s="517"/>
      <c r="W1" s="517"/>
      <c r="X1" s="517"/>
      <c r="Y1" s="517"/>
      <c r="Z1" s="517"/>
      <c r="AA1" s="517"/>
      <c r="AB1" s="517"/>
      <c r="AC1" s="517"/>
      <c r="AD1" s="517"/>
      <c r="AE1" s="517"/>
      <c r="AF1" s="517"/>
      <c r="AG1" s="517"/>
      <c r="AH1" s="517"/>
      <c r="AI1" s="517"/>
      <c r="AJ1" s="33"/>
      <c r="AK1" s="33"/>
      <c r="AL1" s="33"/>
      <c r="AM1" s="33"/>
      <c r="AN1" s="33"/>
      <c r="AO1" s="33"/>
      <c r="AP1" s="33"/>
    </row>
    <row r="2" spans="1:42" ht="17.100000000000001" customHeight="1" x14ac:dyDescent="0.2">
      <c r="A2" s="517" t="str">
        <f>Inventory!A2</f>
        <v>Hilcorp Alaska, LLC - Grayling Platform</v>
      </c>
      <c r="B2" s="517"/>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33"/>
      <c r="AK2" s="33"/>
      <c r="AL2" s="33"/>
      <c r="AM2" s="33"/>
      <c r="AN2" s="33"/>
      <c r="AO2" s="33"/>
      <c r="AP2" s="33"/>
    </row>
    <row r="3" spans="1:42" ht="17.100000000000001" customHeight="1" thickBot="1" x14ac:dyDescent="0.25">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row>
    <row r="4" spans="1:42" s="31" customFormat="1" ht="30.95" customHeight="1" thickBot="1" x14ac:dyDescent="0.3">
      <c r="A4" s="30" t="s">
        <v>0</v>
      </c>
      <c r="B4" s="90" t="s">
        <v>205</v>
      </c>
      <c r="C4" s="90" t="s">
        <v>1</v>
      </c>
      <c r="D4" s="533" t="s">
        <v>2</v>
      </c>
      <c r="E4" s="605"/>
      <c r="F4" s="525" t="s">
        <v>192</v>
      </c>
      <c r="G4" s="525"/>
      <c r="H4" s="525" t="s">
        <v>193</v>
      </c>
      <c r="I4" s="525"/>
      <c r="J4" s="525" t="s">
        <v>175</v>
      </c>
      <c r="K4" s="525"/>
      <c r="L4" s="614" t="s">
        <v>246</v>
      </c>
      <c r="M4" s="561"/>
      <c r="N4" s="548" t="s">
        <v>247</v>
      </c>
      <c r="O4" s="561"/>
      <c r="P4" s="548" t="s">
        <v>248</v>
      </c>
      <c r="Q4" s="561"/>
      <c r="R4" s="548" t="s">
        <v>249</v>
      </c>
      <c r="S4" s="549"/>
      <c r="T4" s="614" t="s">
        <v>250</v>
      </c>
      <c r="U4" s="561"/>
      <c r="V4" s="548" t="s">
        <v>251</v>
      </c>
      <c r="W4" s="561"/>
      <c r="X4" s="548" t="s">
        <v>252</v>
      </c>
      <c r="Y4" s="561"/>
      <c r="Z4" s="548" t="s">
        <v>253</v>
      </c>
      <c r="AA4" s="549"/>
      <c r="AB4" s="614" t="s">
        <v>254</v>
      </c>
      <c r="AC4" s="561"/>
      <c r="AD4" s="548" t="s">
        <v>257</v>
      </c>
      <c r="AE4" s="561"/>
      <c r="AF4" s="548" t="s">
        <v>255</v>
      </c>
      <c r="AG4" s="561"/>
      <c r="AH4" s="548" t="s">
        <v>256</v>
      </c>
      <c r="AI4" s="549"/>
    </row>
    <row r="5" spans="1:42" ht="17.100000000000001" customHeight="1" thickTop="1" x14ac:dyDescent="0.2">
      <c r="A5" s="5">
        <f>Inventory!A5</f>
        <v>1</v>
      </c>
      <c r="B5" s="6" t="str">
        <f>Inventory!B5</f>
        <v>Solar Centaur T4500</v>
      </c>
      <c r="C5" s="6" t="str">
        <f>Inventory!D5</f>
        <v>Fuel Gas</v>
      </c>
      <c r="D5" s="19">
        <f>Inventory!E5</f>
        <v>4500</v>
      </c>
      <c r="E5" s="92" t="str">
        <f>Inventory!F5</f>
        <v>hp</v>
      </c>
      <c r="F5" s="8">
        <f>Inventory!G5</f>
        <v>8760</v>
      </c>
      <c r="G5" s="28" t="str">
        <f>Inventory!H5</f>
        <v>hr/yr</v>
      </c>
      <c r="H5" s="8">
        <f>Inventory!I5</f>
        <v>8760</v>
      </c>
      <c r="I5" s="28" t="str">
        <f>Inventory!J5</f>
        <v>hr/yr</v>
      </c>
      <c r="J5" s="143">
        <f>Inventory!K5</f>
        <v>2985</v>
      </c>
      <c r="K5" s="26" t="str">
        <f>Inventory!L5</f>
        <v>hr/yr</v>
      </c>
      <c r="L5" s="95">
        <f>$C$38/1000000*$D5*F5*$C$42*0.00110231</f>
        <v>20658.349592939521</v>
      </c>
      <c r="M5" s="98" t="s">
        <v>24</v>
      </c>
      <c r="N5" s="114">
        <f>$C$39/1000000*$D5*F5*$C$42*0.00110231</f>
        <v>0.38933941939200006</v>
      </c>
      <c r="O5" s="98" t="s">
        <v>24</v>
      </c>
      <c r="P5" s="99">
        <f>$C$40/1000000*$D5*F5*$C$42*0.00110231</f>
        <v>3.8933941939200002E-2</v>
      </c>
      <c r="Q5" s="98" t="s">
        <v>24</v>
      </c>
      <c r="R5" s="94">
        <f t="shared" ref="R5:R13" si="0">L5*$E$38+N5*$E$39+P5*$E$40</f>
        <v>20679.685393122203</v>
      </c>
      <c r="S5" s="26" t="s">
        <v>24</v>
      </c>
      <c r="T5" s="95">
        <f>+L5/F5*H5</f>
        <v>20658.349592939521</v>
      </c>
      <c r="U5" s="98" t="s">
        <v>24</v>
      </c>
      <c r="V5" s="114">
        <f>+N5/F5*H5</f>
        <v>0.38933941939200006</v>
      </c>
      <c r="W5" s="98" t="s">
        <v>24</v>
      </c>
      <c r="X5" s="117">
        <f>$C$40/1000000*$D5*H5*$C$42*0.0011023</f>
        <v>3.8933588736000002E-2</v>
      </c>
      <c r="Y5" s="98" t="s">
        <v>24</v>
      </c>
      <c r="Z5" s="94">
        <f t="shared" ref="Z5:Z13" si="1">T5*$E$38+V5*$E$39+X5*$E$40</f>
        <v>20679.685287867651</v>
      </c>
      <c r="AA5" s="26" t="s">
        <v>24</v>
      </c>
      <c r="AB5" s="95">
        <f>L5/F5*J5</f>
        <v>7039.4033715667201</v>
      </c>
      <c r="AC5" s="98" t="s">
        <v>24</v>
      </c>
      <c r="AD5" s="114">
        <f>N5/F5*J5</f>
        <v>0.13266874051200003</v>
      </c>
      <c r="AE5" s="98" t="s">
        <v>24</v>
      </c>
      <c r="AF5" s="99">
        <f>P5/F5*J5</f>
        <v>1.3266874051200001E-2</v>
      </c>
      <c r="AG5" s="98" t="s">
        <v>24</v>
      </c>
      <c r="AH5" s="94">
        <f t="shared" ref="AH5:AH13" si="2">AB5*$E$38+AD5*$E$39+AF5*$E$40</f>
        <v>7046.673618546778</v>
      </c>
      <c r="AI5" s="26" t="s">
        <v>24</v>
      </c>
    </row>
    <row r="6" spans="1:42" ht="17.100000000000001" customHeight="1" x14ac:dyDescent="0.2">
      <c r="A6" s="5">
        <f>Inventory!A6</f>
        <v>3</v>
      </c>
      <c r="B6" s="6" t="str">
        <f>Inventory!B6</f>
        <v>Solar Centaur T4500</v>
      </c>
      <c r="C6" s="10" t="str">
        <f>Inventory!D6</f>
        <v>Fuel Gas</v>
      </c>
      <c r="D6" s="13">
        <f>Inventory!E6</f>
        <v>4500</v>
      </c>
      <c r="E6" s="93" t="str">
        <f>Inventory!F6</f>
        <v>hp</v>
      </c>
      <c r="F6" s="8">
        <f>Inventory!G6</f>
        <v>8760</v>
      </c>
      <c r="G6" s="28" t="str">
        <f>Inventory!H6</f>
        <v>hr/yr</v>
      </c>
      <c r="H6" s="8">
        <f>Inventory!I6</f>
        <v>8760</v>
      </c>
      <c r="I6" s="28" t="str">
        <f>Inventory!J6</f>
        <v>hr/yr</v>
      </c>
      <c r="J6" s="143">
        <f>Inventory!K6</f>
        <v>2369</v>
      </c>
      <c r="K6" s="26" t="str">
        <f>Inventory!L6</f>
        <v>hr/yr</v>
      </c>
      <c r="L6" s="95">
        <f>$C$38/1000000*$D6*F6*$C$42*0.00110231</f>
        <v>20658.349592939521</v>
      </c>
      <c r="M6" s="9" t="s">
        <v>24</v>
      </c>
      <c r="N6" s="114">
        <f>$C$39/1000000*$D6*F6*$C$42*0.00110231</f>
        <v>0.38933941939200006</v>
      </c>
      <c r="O6" s="9" t="s">
        <v>24</v>
      </c>
      <c r="P6" s="99">
        <f>$C$40/1000000*$D6*F6*$C$42*0.00110231</f>
        <v>3.8933941939200002E-2</v>
      </c>
      <c r="Q6" s="9" t="s">
        <v>24</v>
      </c>
      <c r="R6" s="94">
        <f t="shared" si="0"/>
        <v>20679.685393122203</v>
      </c>
      <c r="S6" s="26" t="s">
        <v>24</v>
      </c>
      <c r="T6" s="95">
        <f t="shared" ref="T6:T19" si="3">+L6/F6*H6</f>
        <v>20658.349592939521</v>
      </c>
      <c r="U6" s="9" t="s">
        <v>24</v>
      </c>
      <c r="V6" s="114">
        <f t="shared" ref="V6:V19" si="4">+N6/F6*H6</f>
        <v>0.38933941939200006</v>
      </c>
      <c r="W6" s="9" t="s">
        <v>24</v>
      </c>
      <c r="X6" s="117">
        <f>$C$40/1000000*$D6*H6*$C$42*0.0011023</f>
        <v>3.8933588736000002E-2</v>
      </c>
      <c r="Y6" s="9" t="s">
        <v>24</v>
      </c>
      <c r="Z6" s="94">
        <f t="shared" si="1"/>
        <v>20679.685287867651</v>
      </c>
      <c r="AA6" s="26" t="s">
        <v>24</v>
      </c>
      <c r="AB6" s="95">
        <f t="shared" ref="AB6:AB7" si="5">L6/F6*J6</f>
        <v>5586.7157746202884</v>
      </c>
      <c r="AC6" s="9" t="s">
        <v>24</v>
      </c>
      <c r="AD6" s="114">
        <f t="shared" ref="AD6:AD7" si="6">N6/F6*J6</f>
        <v>0.10529053476480002</v>
      </c>
      <c r="AE6" s="9" t="s">
        <v>24</v>
      </c>
      <c r="AF6" s="99">
        <f t="shared" ref="AF6:AF19" si="7">P6/F6*J6</f>
        <v>1.052905347648E-2</v>
      </c>
      <c r="AG6" s="9" t="s">
        <v>24</v>
      </c>
      <c r="AH6" s="94">
        <f t="shared" si="2"/>
        <v>5592.4856959253993</v>
      </c>
      <c r="AI6" s="26" t="s">
        <v>24</v>
      </c>
    </row>
    <row r="7" spans="1:42" ht="17.100000000000001" customHeight="1" x14ac:dyDescent="0.2">
      <c r="A7" s="5" t="str">
        <f>Inventory!A7</f>
        <v>4a</v>
      </c>
      <c r="B7" s="6" t="str">
        <f>Inventory!B7</f>
        <v>Solar Centaur T4500</v>
      </c>
      <c r="C7" s="10" t="str">
        <f>Inventory!D7</f>
        <v>Fuel Gas</v>
      </c>
      <c r="D7" s="13">
        <f>Inventory!E7</f>
        <v>4500</v>
      </c>
      <c r="E7" s="93" t="str">
        <f>Inventory!F7</f>
        <v>hp</v>
      </c>
      <c r="F7" s="8">
        <f>Inventory!G7</f>
        <v>8760</v>
      </c>
      <c r="G7" s="28" t="str">
        <f>Inventory!H7</f>
        <v>hr/yr</v>
      </c>
      <c r="H7" s="8">
        <f>Inventory!I7</f>
        <v>8760</v>
      </c>
      <c r="I7" s="28" t="str">
        <f>Inventory!J7</f>
        <v>hr/yr</v>
      </c>
      <c r="J7" s="143">
        <f>Inventory!K7</f>
        <v>8562</v>
      </c>
      <c r="K7" s="26" t="str">
        <f>Inventory!L7</f>
        <v>hr/yr</v>
      </c>
      <c r="L7" s="95">
        <f>$C$38/1000000*$D7*F7*$C$42*0.00110231</f>
        <v>20658.349592939521</v>
      </c>
      <c r="M7" s="9" t="s">
        <v>24</v>
      </c>
      <c r="N7" s="114">
        <f>$C$39/1000000*$D7*F7*$C$42*0.00110231</f>
        <v>0.38933941939200006</v>
      </c>
      <c r="O7" s="9" t="s">
        <v>24</v>
      </c>
      <c r="P7" s="99">
        <f>$C$40/1000000*$D7*F7*$C$42*0.00110231</f>
        <v>3.8933941939200002E-2</v>
      </c>
      <c r="Q7" s="9" t="s">
        <v>24</v>
      </c>
      <c r="R7" s="94">
        <f t="shared" si="0"/>
        <v>20679.685393122203</v>
      </c>
      <c r="S7" s="26" t="s">
        <v>24</v>
      </c>
      <c r="T7" s="95">
        <f t="shared" si="3"/>
        <v>20658.349592939521</v>
      </c>
      <c r="U7" s="9" t="s">
        <v>24</v>
      </c>
      <c r="V7" s="114">
        <f t="shared" si="4"/>
        <v>0.38933941939200006</v>
      </c>
      <c r="W7" s="9" t="s">
        <v>24</v>
      </c>
      <c r="X7" s="117">
        <f>$C$40/1000000*$D7*H7*$C$42*0.0011023</f>
        <v>3.8933588736000002E-2</v>
      </c>
      <c r="Y7" s="9" t="s">
        <v>24</v>
      </c>
      <c r="Z7" s="94">
        <f t="shared" si="1"/>
        <v>20679.685287867651</v>
      </c>
      <c r="AA7" s="26" t="s">
        <v>24</v>
      </c>
      <c r="AB7" s="95">
        <f t="shared" si="5"/>
        <v>20191.414293921025</v>
      </c>
      <c r="AC7" s="9" t="s">
        <v>24</v>
      </c>
      <c r="AD7" s="114">
        <f t="shared" si="6"/>
        <v>0.38053928183040009</v>
      </c>
      <c r="AE7" s="9" t="s">
        <v>24</v>
      </c>
      <c r="AF7" s="99">
        <f t="shared" si="7"/>
        <v>3.8053928183040001E-2</v>
      </c>
      <c r="AG7" s="9" t="s">
        <v>24</v>
      </c>
      <c r="AH7" s="94">
        <f t="shared" si="2"/>
        <v>20212.26784656533</v>
      </c>
      <c r="AI7" s="26" t="s">
        <v>24</v>
      </c>
    </row>
    <row r="8" spans="1:42" ht="17.100000000000001" customHeight="1" x14ac:dyDescent="0.2">
      <c r="A8" s="5">
        <f>Inventory!A8</f>
        <v>14</v>
      </c>
      <c r="B8" s="6" t="str">
        <f>Inventory!B8</f>
        <v>Solar Saturn T1200</v>
      </c>
      <c r="C8" s="10" t="str">
        <f>Inventory!D8</f>
        <v>Fuel Gas</v>
      </c>
      <c r="D8" s="13">
        <f>Inventory!E8</f>
        <v>1100</v>
      </c>
      <c r="E8" s="93" t="str">
        <f>Inventory!F8</f>
        <v>hp</v>
      </c>
      <c r="F8" s="8">
        <f>Inventory!G8</f>
        <v>8760</v>
      </c>
      <c r="G8" s="28" t="str">
        <f>Inventory!H8</f>
        <v>hr/yr</v>
      </c>
      <c r="H8" s="8">
        <f>Inventory!I8</f>
        <v>8760</v>
      </c>
      <c r="I8" s="28" t="str">
        <f>Inventory!J8</f>
        <v>hr/yr</v>
      </c>
      <c r="J8" s="143">
        <f>Inventory!K8</f>
        <v>0</v>
      </c>
      <c r="K8" s="26" t="str">
        <f>Inventory!L8</f>
        <v>hr/yr</v>
      </c>
      <c r="L8" s="95">
        <f>$C$38/1000000*$D8*F8*$C$43*0.00110231</f>
        <v>6277.3305442156843</v>
      </c>
      <c r="M8" s="9" t="s">
        <v>24</v>
      </c>
      <c r="N8" s="114">
        <f>$C$39/1000000*$D8*F8*$C$43*0.00110231</f>
        <v>0.11830626732408002</v>
      </c>
      <c r="O8" s="9" t="s">
        <v>24</v>
      </c>
      <c r="P8" s="99">
        <f>$C$40/1000000*$D8*F8*$C$43*0.00110231</f>
        <v>1.1830626732408001E-2</v>
      </c>
      <c r="Q8" s="9" t="s">
        <v>24</v>
      </c>
      <c r="R8" s="94">
        <f t="shared" si="0"/>
        <v>6283.8137276650441</v>
      </c>
      <c r="S8" s="26" t="s">
        <v>24</v>
      </c>
      <c r="T8" s="95">
        <f t="shared" si="3"/>
        <v>6277.3305442156843</v>
      </c>
      <c r="U8" s="9" t="s">
        <v>24</v>
      </c>
      <c r="V8" s="114">
        <f t="shared" si="4"/>
        <v>0.11830626732408002</v>
      </c>
      <c r="W8" s="9" t="s">
        <v>24</v>
      </c>
      <c r="X8" s="117">
        <f>$C$40/1000000*$D8*H8*$C$43*0.0011023</f>
        <v>1.1830519406640001E-2</v>
      </c>
      <c r="Y8" s="9" t="s">
        <v>24</v>
      </c>
      <c r="Z8" s="94">
        <f t="shared" si="1"/>
        <v>6283.8136956819653</v>
      </c>
      <c r="AA8" s="26" t="s">
        <v>24</v>
      </c>
      <c r="AB8" s="95">
        <f>$C$38/1000000*$D8*J8*$C$43*0.0011023</f>
        <v>0</v>
      </c>
      <c r="AC8" s="9" t="s">
        <v>24</v>
      </c>
      <c r="AD8" s="28">
        <f>$C$39/1000000*$D8*J8*$C$43*0.0011023</f>
        <v>0</v>
      </c>
      <c r="AE8" s="9" t="s">
        <v>24</v>
      </c>
      <c r="AF8" s="28">
        <f>$C$40/1000000*$D8*J8*$C$43*0.0011023</f>
        <v>0</v>
      </c>
      <c r="AG8" s="9" t="s">
        <v>24</v>
      </c>
      <c r="AH8" s="94">
        <f t="shared" si="2"/>
        <v>0</v>
      </c>
      <c r="AI8" s="26" t="s">
        <v>24</v>
      </c>
    </row>
    <row r="9" spans="1:42" ht="17.100000000000001" customHeight="1" x14ac:dyDescent="0.2">
      <c r="A9" s="5">
        <f>Inventory!A9</f>
        <v>15</v>
      </c>
      <c r="B9" s="6" t="str">
        <f>Inventory!B9</f>
        <v>Solar Saturn T1200</v>
      </c>
      <c r="C9" s="10" t="str">
        <f>Inventory!D9</f>
        <v>Fuel Gas</v>
      </c>
      <c r="D9" s="11">
        <f>Inventory!E9</f>
        <v>800</v>
      </c>
      <c r="E9" s="93" t="str">
        <f>Inventory!F9</f>
        <v>kW</v>
      </c>
      <c r="F9" s="8">
        <f>Inventory!G9</f>
        <v>8760</v>
      </c>
      <c r="G9" s="28" t="str">
        <f>Inventory!H9</f>
        <v>hr/yr</v>
      </c>
      <c r="H9" s="8">
        <f>Inventory!I9</f>
        <v>8760</v>
      </c>
      <c r="I9" s="28" t="str">
        <f>Inventory!J9</f>
        <v>hr/yr</v>
      </c>
      <c r="J9" s="143">
        <f>Inventory!K9</f>
        <v>1599</v>
      </c>
      <c r="K9" s="26" t="str">
        <f>Inventory!L9</f>
        <v>hr/yr</v>
      </c>
      <c r="L9" s="95">
        <f>$C$38/1000000*$D9*F9*$C$44*0.00110231</f>
        <v>6608.2125424081532</v>
      </c>
      <c r="M9" s="9" t="s">
        <v>24</v>
      </c>
      <c r="N9" s="114">
        <f>$C$39/1000000*$D9*F9*$C$44*0.00110231</f>
        <v>0.12454226427456001</v>
      </c>
      <c r="O9" s="9" t="s">
        <v>24</v>
      </c>
      <c r="P9" s="99">
        <f>$C$40/1000000*$D9*F9*$C$44*0.00110231</f>
        <v>1.2454226427456E-2</v>
      </c>
      <c r="Q9" s="9" t="s">
        <v>24</v>
      </c>
      <c r="R9" s="94">
        <f t="shared" si="0"/>
        <v>6615.0374584903993</v>
      </c>
      <c r="S9" s="26" t="s">
        <v>24</v>
      </c>
      <c r="T9" s="95">
        <f t="shared" si="3"/>
        <v>6608.2125424081532</v>
      </c>
      <c r="U9" s="9" t="s">
        <v>24</v>
      </c>
      <c r="V9" s="114">
        <f t="shared" si="4"/>
        <v>0.12454226427456001</v>
      </c>
      <c r="W9" s="9" t="s">
        <v>24</v>
      </c>
      <c r="X9" s="117">
        <f>$C$40/1000000*$D9*H9*$C$44*0.0011023</f>
        <v>1.2454113444480001E-2</v>
      </c>
      <c r="Y9" s="9" t="s">
        <v>24</v>
      </c>
      <c r="Z9" s="94">
        <f t="shared" si="1"/>
        <v>6615.0374248214721</v>
      </c>
      <c r="AA9" s="26" t="s">
        <v>24</v>
      </c>
      <c r="AB9" s="95">
        <f t="shared" ref="AB9:AB19" si="8">L9/F9*J9</f>
        <v>1206.2250976382004</v>
      </c>
      <c r="AC9" s="9" t="s">
        <v>24</v>
      </c>
      <c r="AD9" s="117">
        <f>N9/F9*J9</f>
        <v>2.2733228376144003E-2</v>
      </c>
      <c r="AE9" s="9" t="s">
        <v>24</v>
      </c>
      <c r="AF9" s="99">
        <f t="shared" si="7"/>
        <v>2.2733228376144001E-3</v>
      </c>
      <c r="AG9" s="9" t="s">
        <v>24</v>
      </c>
      <c r="AH9" s="94">
        <f t="shared" si="2"/>
        <v>1207.4708785532132</v>
      </c>
      <c r="AI9" s="26" t="s">
        <v>24</v>
      </c>
    </row>
    <row r="10" spans="1:42" ht="17.100000000000001" customHeight="1" x14ac:dyDescent="0.2">
      <c r="A10" s="5">
        <f>Inventory!A10</f>
        <v>16</v>
      </c>
      <c r="B10" s="6" t="str">
        <f>Inventory!B10</f>
        <v>Solar Saturn T1200</v>
      </c>
      <c r="C10" s="10" t="str">
        <f>Inventory!D10</f>
        <v>Fuel Gas</v>
      </c>
      <c r="D10" s="11">
        <f>Inventory!E10</f>
        <v>750</v>
      </c>
      <c r="E10" s="93" t="str">
        <f>Inventory!F10</f>
        <v>kW</v>
      </c>
      <c r="F10" s="8">
        <f>Inventory!G10</f>
        <v>8760</v>
      </c>
      <c r="G10" s="28" t="str">
        <f>Inventory!H10</f>
        <v>hr/yr</v>
      </c>
      <c r="H10" s="8">
        <f>Inventory!I10</f>
        <v>8760</v>
      </c>
      <c r="I10" s="28" t="str">
        <f>Inventory!J10</f>
        <v>hr/yr</v>
      </c>
      <c r="J10" s="143">
        <f>Inventory!K10</f>
        <v>1868</v>
      </c>
      <c r="K10" s="26" t="str">
        <f>Inventory!L10</f>
        <v>hr/yr</v>
      </c>
      <c r="L10" s="95">
        <f>$C$38/1000000*$D10*F10*$C$44*0.00110231</f>
        <v>6195.199258507645</v>
      </c>
      <c r="M10" s="9" t="s">
        <v>24</v>
      </c>
      <c r="N10" s="114">
        <f>$C$39/1000000*$D10*F10*$C$44*0.00110231</f>
        <v>0.1167583727574</v>
      </c>
      <c r="O10" s="9" t="s">
        <v>24</v>
      </c>
      <c r="P10" s="99">
        <f>$C$40/1000000*$D10*F10*$C$44*0.00110231</f>
        <v>1.1675837275739998E-2</v>
      </c>
      <c r="Q10" s="9" t="s">
        <v>24</v>
      </c>
      <c r="R10" s="94">
        <f t="shared" si="0"/>
        <v>6201.5976173347508</v>
      </c>
      <c r="S10" s="26" t="s">
        <v>24</v>
      </c>
      <c r="T10" s="95">
        <f t="shared" si="3"/>
        <v>6195.199258507645</v>
      </c>
      <c r="U10" s="9" t="s">
        <v>24</v>
      </c>
      <c r="V10" s="114">
        <f t="shared" si="4"/>
        <v>0.1167583727574</v>
      </c>
      <c r="W10" s="9" t="s">
        <v>24</v>
      </c>
      <c r="X10" s="117">
        <f>$C$40/1000000*$D10*H10*$C$44*0.0011023</f>
        <v>1.1675731354199999E-2</v>
      </c>
      <c r="Y10" s="9" t="s">
        <v>24</v>
      </c>
      <c r="Z10" s="94">
        <f t="shared" si="1"/>
        <v>6201.5975857701314</v>
      </c>
      <c r="AA10" s="26" t="s">
        <v>24</v>
      </c>
      <c r="AB10" s="95">
        <f t="shared" si="8"/>
        <v>1321.0767368598495</v>
      </c>
      <c r="AC10" s="9" t="s">
        <v>24</v>
      </c>
      <c r="AD10" s="117">
        <f t="shared" ref="AD10:AD19" si="9">N10/F10*J10</f>
        <v>2.489778998982E-2</v>
      </c>
      <c r="AE10" s="9" t="s">
        <v>24</v>
      </c>
      <c r="AF10" s="99">
        <f t="shared" si="7"/>
        <v>2.4897789989819998E-3</v>
      </c>
      <c r="AG10" s="9" t="s">
        <v>24</v>
      </c>
      <c r="AH10" s="94">
        <f t="shared" si="2"/>
        <v>1322.4411357512915</v>
      </c>
      <c r="AI10" s="26" t="s">
        <v>24</v>
      </c>
    </row>
    <row r="11" spans="1:42" ht="17.100000000000001" customHeight="1" x14ac:dyDescent="0.2">
      <c r="A11" s="5">
        <f>Inventory!A11</f>
        <v>17</v>
      </c>
      <c r="B11" s="6" t="str">
        <f>Inventory!B11</f>
        <v>Solar Saturn T1200</v>
      </c>
      <c r="C11" s="10" t="str">
        <f>Inventory!D11</f>
        <v>Fuel Gas</v>
      </c>
      <c r="D11" s="11">
        <f>Inventory!E11</f>
        <v>800</v>
      </c>
      <c r="E11" s="93" t="str">
        <f>Inventory!F11</f>
        <v>kW</v>
      </c>
      <c r="F11" s="8">
        <f>Inventory!G11</f>
        <v>8760</v>
      </c>
      <c r="G11" s="28" t="str">
        <f>Inventory!H11</f>
        <v>hr/yr</v>
      </c>
      <c r="H11" s="8">
        <f>Inventory!I11</f>
        <v>8760</v>
      </c>
      <c r="I11" s="28" t="str">
        <f>Inventory!J11</f>
        <v>hr/yr</v>
      </c>
      <c r="J11" s="143">
        <f>Inventory!K11</f>
        <v>1384</v>
      </c>
      <c r="K11" s="26" t="str">
        <f>Inventory!L11</f>
        <v>hr/yr</v>
      </c>
      <c r="L11" s="95">
        <f>$C$38/1000000*$D11*F11*$C$44*0.00110231</f>
        <v>6608.2125424081532</v>
      </c>
      <c r="M11" s="9" t="s">
        <v>24</v>
      </c>
      <c r="N11" s="114">
        <f>$C$39/1000000*$D11*F11*$C$44*0.00110231</f>
        <v>0.12454226427456001</v>
      </c>
      <c r="O11" s="9" t="s">
        <v>24</v>
      </c>
      <c r="P11" s="99">
        <f>$C$40/1000000*$D11*F11*$C$44*0.00110231</f>
        <v>1.2454226427456E-2</v>
      </c>
      <c r="Q11" s="9" t="s">
        <v>24</v>
      </c>
      <c r="R11" s="94">
        <f t="shared" si="0"/>
        <v>6615.0374584903993</v>
      </c>
      <c r="S11" s="26" t="s">
        <v>24</v>
      </c>
      <c r="T11" s="95">
        <f t="shared" si="3"/>
        <v>6608.2125424081532</v>
      </c>
      <c r="U11" s="9" t="s">
        <v>24</v>
      </c>
      <c r="V11" s="114">
        <f t="shared" si="4"/>
        <v>0.12454226427456001</v>
      </c>
      <c r="W11" s="9" t="s">
        <v>24</v>
      </c>
      <c r="X11" s="117">
        <f>$C$40/1000000*$D11*H11*$C$44*0.0011023</f>
        <v>1.2454113444480001E-2</v>
      </c>
      <c r="Y11" s="9" t="s">
        <v>24</v>
      </c>
      <c r="Z11" s="94">
        <f t="shared" si="1"/>
        <v>6615.0374248214721</v>
      </c>
      <c r="AA11" s="26" t="s">
        <v>24</v>
      </c>
      <c r="AB11" s="95">
        <f t="shared" si="8"/>
        <v>1044.0372327274981</v>
      </c>
      <c r="AC11" s="9" t="s">
        <v>24</v>
      </c>
      <c r="AD11" s="117">
        <f t="shared" si="9"/>
        <v>1.9676540383104003E-2</v>
      </c>
      <c r="AE11" s="9" t="s">
        <v>24</v>
      </c>
      <c r="AF11" s="99">
        <f t="shared" si="7"/>
        <v>1.9676540383104001E-3</v>
      </c>
      <c r="AG11" s="9" t="s">
        <v>24</v>
      </c>
      <c r="AH11" s="94">
        <f t="shared" si="2"/>
        <v>1045.1155071404924</v>
      </c>
      <c r="AI11" s="26" t="s">
        <v>24</v>
      </c>
    </row>
    <row r="12" spans="1:42" ht="17.100000000000001" customHeight="1" x14ac:dyDescent="0.2">
      <c r="A12" s="5">
        <f>Inventory!A12</f>
        <v>18</v>
      </c>
      <c r="B12" s="6" t="str">
        <f>Inventory!B12</f>
        <v>Solar Saturn T1200</v>
      </c>
      <c r="C12" s="10" t="str">
        <f>Inventory!D12</f>
        <v>Fuel Gas</v>
      </c>
      <c r="D12" s="11">
        <f>Inventory!E12</f>
        <v>800</v>
      </c>
      <c r="E12" s="93" t="str">
        <f>Inventory!F12</f>
        <v>kW</v>
      </c>
      <c r="F12" s="8">
        <f>Inventory!G12</f>
        <v>8760</v>
      </c>
      <c r="G12" s="28" t="str">
        <f>Inventory!H12</f>
        <v>hr/yr</v>
      </c>
      <c r="H12" s="8">
        <f>Inventory!I12</f>
        <v>8760</v>
      </c>
      <c r="I12" s="28" t="str">
        <f>Inventory!J12</f>
        <v>hr/yr</v>
      </c>
      <c r="J12" s="143">
        <f>Inventory!K12</f>
        <v>1380</v>
      </c>
      <c r="K12" s="26" t="str">
        <f>Inventory!L12</f>
        <v>hr/yr</v>
      </c>
      <c r="L12" s="95">
        <f>$C$38/1000000*$D12*F12*$C$44*0.00110231</f>
        <v>6608.2125424081532</v>
      </c>
      <c r="M12" s="9" t="s">
        <v>24</v>
      </c>
      <c r="N12" s="114">
        <f>$C$39/1000000*$D12*F12*$C$44*0.00110231</f>
        <v>0.12454226427456001</v>
      </c>
      <c r="O12" s="9" t="s">
        <v>24</v>
      </c>
      <c r="P12" s="99">
        <f>$C$40/1000000*$D12*F12*$C$44*0.00110231</f>
        <v>1.2454226427456E-2</v>
      </c>
      <c r="Q12" s="9" t="s">
        <v>24</v>
      </c>
      <c r="R12" s="94">
        <f t="shared" si="0"/>
        <v>6615.0374584903993</v>
      </c>
      <c r="S12" s="26" t="s">
        <v>24</v>
      </c>
      <c r="T12" s="95">
        <f t="shared" si="3"/>
        <v>6608.2125424081532</v>
      </c>
      <c r="U12" s="9" t="s">
        <v>24</v>
      </c>
      <c r="V12" s="114">
        <f t="shared" si="4"/>
        <v>0.12454226427456001</v>
      </c>
      <c r="W12" s="9" t="s">
        <v>24</v>
      </c>
      <c r="X12" s="117">
        <f>$C$40/1000000*$D12*H12*$C$44*0.0011023</f>
        <v>1.2454113444480001E-2</v>
      </c>
      <c r="Y12" s="9" t="s">
        <v>24</v>
      </c>
      <c r="Z12" s="94">
        <f t="shared" si="1"/>
        <v>6615.0374248214721</v>
      </c>
      <c r="AA12" s="26" t="s">
        <v>24</v>
      </c>
      <c r="AB12" s="95">
        <f t="shared" si="8"/>
        <v>1041.0197840779967</v>
      </c>
      <c r="AC12" s="9" t="s">
        <v>24</v>
      </c>
      <c r="AD12" s="117">
        <f t="shared" si="9"/>
        <v>1.9619671769280003E-2</v>
      </c>
      <c r="AE12" s="9" t="s">
        <v>24</v>
      </c>
      <c r="AF12" s="99">
        <f t="shared" si="7"/>
        <v>1.9619671769279998E-3</v>
      </c>
      <c r="AG12" s="9" t="s">
        <v>24</v>
      </c>
      <c r="AH12" s="94">
        <f t="shared" si="2"/>
        <v>1042.0949420909533</v>
      </c>
      <c r="AI12" s="26" t="s">
        <v>24</v>
      </c>
    </row>
    <row r="13" spans="1:42" ht="37.5" customHeight="1" x14ac:dyDescent="0.2">
      <c r="A13" s="123">
        <f>Inventory!A17</f>
        <v>28</v>
      </c>
      <c r="B13" s="125" t="str">
        <f>Inventory!B17</f>
        <v>Flare (South)</v>
      </c>
      <c r="C13" s="365" t="str">
        <f>Inventory!D17</f>
        <v>Fuel Gas</v>
      </c>
      <c r="D13" s="444">
        <f>Inventory!E17</f>
        <v>0.12</v>
      </c>
      <c r="E13" s="445" t="str">
        <f>Inventory!F17</f>
        <v>MMscf/day, pilot/purge combined</v>
      </c>
      <c r="F13" s="581">
        <f>Inventory!G17</f>
        <v>193.762</v>
      </c>
      <c r="G13" s="575" t="str">
        <f>Inventory!H17</f>
        <v>MMscf/yr, combined 6</v>
      </c>
      <c r="H13" s="563">
        <f>Inventory!I17</f>
        <v>14.12</v>
      </c>
      <c r="I13" s="606" t="str">
        <f>Inventory!J17</f>
        <v>MMscf/day, each</v>
      </c>
      <c r="J13" s="573">
        <f>Inventory!K17</f>
        <v>49829</v>
      </c>
      <c r="K13" s="610" t="str">
        <f>Inventory!L17</f>
        <v>Mscf/yr,  combined</v>
      </c>
      <c r="L13" s="612">
        <f>$C$38*$C$46*F13*0.00110231</f>
        <v>11525.520683567447</v>
      </c>
      <c r="M13" s="553" t="s">
        <v>24</v>
      </c>
      <c r="N13" s="577">
        <f>$C$39*$C$46*F13*0.00110231</f>
        <v>0.21721674865374002</v>
      </c>
      <c r="O13" s="553" t="s">
        <v>24</v>
      </c>
      <c r="P13" s="608">
        <f>$C$40*$C$46*F13*0.00110231</f>
        <v>2.1721674865374001E-2</v>
      </c>
      <c r="Q13" s="553" t="s">
        <v>24</v>
      </c>
      <c r="R13" s="563">
        <f t="shared" si="0"/>
        <v>11537.424161393672</v>
      </c>
      <c r="S13" s="553" t="s">
        <v>24</v>
      </c>
      <c r="T13" s="612">
        <f>$C$38*$C$46*H13*0.00110231*365*2</f>
        <v>613125.67478628305</v>
      </c>
      <c r="U13" s="553" t="s">
        <v>24</v>
      </c>
      <c r="V13" s="577">
        <f>$C$39*$C$46*H13*0.00110231*365*2</f>
        <v>11.555327455452002</v>
      </c>
      <c r="W13" s="553" t="s">
        <v>24</v>
      </c>
      <c r="X13" s="577">
        <f>$C$40*$C$46*H13*0.00110231*365*2</f>
        <v>1.1555327455452</v>
      </c>
      <c r="Y13" s="553" t="s">
        <v>24</v>
      </c>
      <c r="Z13" s="563">
        <f t="shared" si="1"/>
        <v>613758.90673084185</v>
      </c>
      <c r="AA13" s="553" t="s">
        <v>24</v>
      </c>
      <c r="AB13" s="612">
        <f>$C$38*$C$46*J13/1000*0.00110231</f>
        <v>2963.97214181048</v>
      </c>
      <c r="AC13" s="553" t="s">
        <v>24</v>
      </c>
      <c r="AD13" s="608">
        <f>$C$39*$C$46*J13/1000*0.00110231</f>
        <v>5.586076407483001E-2</v>
      </c>
      <c r="AE13" s="553" t="s">
        <v>24</v>
      </c>
      <c r="AF13" s="608">
        <f>$C$40*$C$46*J13/1000*0.00110231</f>
        <v>5.5860764074830002E-3</v>
      </c>
      <c r="AG13" s="553" t="s">
        <v>24</v>
      </c>
      <c r="AH13" s="563">
        <f t="shared" si="2"/>
        <v>2967.0333116817806</v>
      </c>
      <c r="AI13" s="571" t="s">
        <v>24</v>
      </c>
    </row>
    <row r="14" spans="1:42" ht="37.5" customHeight="1" x14ac:dyDescent="0.2">
      <c r="A14" s="123">
        <f>Inventory!A18</f>
        <v>29</v>
      </c>
      <c r="B14" s="125" t="str">
        <f>Inventory!B18</f>
        <v>Flare (SW)</v>
      </c>
      <c r="C14" s="365" t="str">
        <f>Inventory!D18</f>
        <v>Fuel Gas</v>
      </c>
      <c r="D14" s="188">
        <f>Inventory!E18</f>
        <v>14</v>
      </c>
      <c r="E14" s="368" t="str">
        <f>Inventory!F18</f>
        <v>MMscf/day, emergency each</v>
      </c>
      <c r="F14" s="582"/>
      <c r="G14" s="576"/>
      <c r="H14" s="564"/>
      <c r="I14" s="607"/>
      <c r="J14" s="574"/>
      <c r="K14" s="611"/>
      <c r="L14" s="613"/>
      <c r="M14" s="554"/>
      <c r="N14" s="578"/>
      <c r="O14" s="554"/>
      <c r="P14" s="609"/>
      <c r="Q14" s="554"/>
      <c r="R14" s="564"/>
      <c r="S14" s="554"/>
      <c r="T14" s="613"/>
      <c r="U14" s="554"/>
      <c r="V14" s="578"/>
      <c r="W14" s="554"/>
      <c r="X14" s="578"/>
      <c r="Y14" s="554"/>
      <c r="Z14" s="564"/>
      <c r="AA14" s="554"/>
      <c r="AB14" s="613"/>
      <c r="AC14" s="554"/>
      <c r="AD14" s="609"/>
      <c r="AE14" s="554"/>
      <c r="AF14" s="609"/>
      <c r="AG14" s="554"/>
      <c r="AH14" s="564"/>
      <c r="AI14" s="572"/>
    </row>
    <row r="15" spans="1:42" ht="17.100000000000001" customHeight="1" x14ac:dyDescent="0.2">
      <c r="A15" s="431">
        <f>Inventory!A19</f>
        <v>31</v>
      </c>
      <c r="B15" s="73" t="str">
        <f>Inventory!B19</f>
        <v>Solar Taurus 60 T-7300S</v>
      </c>
      <c r="C15" s="365" t="str">
        <f>Inventory!D19</f>
        <v>Fuel Gas</v>
      </c>
      <c r="D15" s="428">
        <f>Inventory!E19</f>
        <v>5.2</v>
      </c>
      <c r="E15" s="438" t="str">
        <f>Inventory!F19</f>
        <v>MW</v>
      </c>
      <c r="F15" s="8">
        <v>8760</v>
      </c>
      <c r="G15" s="28" t="str">
        <f>Inventory!H19</f>
        <v>hr/yr</v>
      </c>
      <c r="H15" s="420">
        <f>Inventory!I19</f>
        <v>8760</v>
      </c>
      <c r="I15" s="438" t="str">
        <f>Inventory!J19</f>
        <v>hr/yr</v>
      </c>
      <c r="J15" s="143">
        <f>Inventory!K19</f>
        <v>7324.4</v>
      </c>
      <c r="K15" s="26" t="str">
        <f>Inventory!L19</f>
        <v>hr/yr</v>
      </c>
      <c r="L15" s="95">
        <f>$C$38/1000000*$D15*1000*1.341*$C$45*F15*0.00110231</f>
        <v>40290.327820759325</v>
      </c>
      <c r="M15" s="9" t="s">
        <v>24</v>
      </c>
      <c r="N15" s="116">
        <f>$C$39/1000000*$D15*1000*1.341*$C$45*F15*0.00110231</f>
        <v>0.75933523974291994</v>
      </c>
      <c r="O15" s="9" t="s">
        <v>24</v>
      </c>
      <c r="P15" s="105">
        <f>$C$40/1000000*$D15*1000*1.341*$C$45*F15*0.00110231</f>
        <v>7.5933523974291983E-2</v>
      </c>
      <c r="Q15" s="9" t="s">
        <v>24</v>
      </c>
      <c r="R15" s="8">
        <f>L15*$E$38+N15*$E$39+P15*$E$40</f>
        <v>40331.939391897235</v>
      </c>
      <c r="S15" s="26" t="s">
        <v>24</v>
      </c>
      <c r="T15" s="95">
        <f t="shared" ref="T15" si="10">+L15/F15*H15</f>
        <v>40290.327820759325</v>
      </c>
      <c r="U15" s="9" t="s">
        <v>24</v>
      </c>
      <c r="V15" s="116">
        <f t="shared" ref="V15" si="11">+N15/F15*H15</f>
        <v>0.75933523974291994</v>
      </c>
      <c r="W15" s="9" t="s">
        <v>24</v>
      </c>
      <c r="X15" s="128">
        <f>$C$40/1000000*$D15*1000*1.34*$C$45*H15*0.0011023</f>
        <v>7.5876211078012817E-2</v>
      </c>
      <c r="Y15" s="9" t="s">
        <v>24</v>
      </c>
      <c r="Z15" s="8">
        <f>T15*$E$38+V15*$E$39+X15*$E$40</f>
        <v>40331.922312654147</v>
      </c>
      <c r="AA15" s="110" t="s">
        <v>24</v>
      </c>
      <c r="AB15" s="95">
        <f>L15/F15*J15</f>
        <v>33687.497384745388</v>
      </c>
      <c r="AC15" s="9" t="s">
        <v>24</v>
      </c>
      <c r="AD15" s="116">
        <f t="shared" ref="AD15" si="12">N15/F15*J15</f>
        <v>0.63489440981427425</v>
      </c>
      <c r="AE15" s="9" t="s">
        <v>24</v>
      </c>
      <c r="AF15" s="105">
        <f t="shared" ref="AF15" si="13">P15/F15*J15</f>
        <v>6.348944098142742E-2</v>
      </c>
      <c r="AG15" s="9" t="s">
        <v>24</v>
      </c>
      <c r="AH15" s="8">
        <f>AB15*$E$38+AD15*$E$39+AF15*$E$40</f>
        <v>33722.289598403207</v>
      </c>
      <c r="AI15" s="110" t="s">
        <v>24</v>
      </c>
    </row>
    <row r="16" spans="1:42" ht="17.100000000000001" customHeight="1" x14ac:dyDescent="0.2">
      <c r="A16" s="74">
        <f>Inventory!A13</f>
        <v>24</v>
      </c>
      <c r="B16" s="32" t="str">
        <f>Inventory!B13</f>
        <v>Caterpillar 3406</v>
      </c>
      <c r="C16" s="322" t="str">
        <f>Inventory!D13</f>
        <v>Diesel</v>
      </c>
      <c r="D16" s="424">
        <f>Inventory!E13</f>
        <v>340</v>
      </c>
      <c r="E16" s="434" t="str">
        <f>Inventory!F13</f>
        <v>hp</v>
      </c>
      <c r="F16" s="188">
        <f>Inventory!G13</f>
        <v>3000</v>
      </c>
      <c r="G16" s="14" t="s">
        <v>5</v>
      </c>
      <c r="H16" s="188">
        <f>Inventory!I13</f>
        <v>8760</v>
      </c>
      <c r="I16" s="29" t="str">
        <f>Inventory!J13</f>
        <v>hr/yr</v>
      </c>
      <c r="J16" s="429">
        <f>Inventory!K13</f>
        <v>154</v>
      </c>
      <c r="K16" s="27" t="str">
        <f>Inventory!L13</f>
        <v>hr/yr</v>
      </c>
      <c r="L16" s="435">
        <f>$D$38/1000000*$D16*F16*7000*0.00110231</f>
        <v>582.10169186399992</v>
      </c>
      <c r="M16" s="14" t="s">
        <v>24</v>
      </c>
      <c r="N16" s="427">
        <f>$D$39/1000000*$D16*F16*7000*0.00110231</f>
        <v>2.36114802E-2</v>
      </c>
      <c r="O16" s="14" t="s">
        <v>24</v>
      </c>
      <c r="P16" s="436">
        <f>$D$40/1000000*$D16*F16*7000*0.00110231</f>
        <v>4.7222960399999998E-3</v>
      </c>
      <c r="Q16" s="14" t="s">
        <v>24</v>
      </c>
      <c r="R16" s="437">
        <f>L16*$E$38+N16*$E$39+P16*$E$40</f>
        <v>584.09922308891998</v>
      </c>
      <c r="S16" s="27" t="s">
        <v>24</v>
      </c>
      <c r="T16" s="435">
        <f t="shared" si="3"/>
        <v>1699.7369402428797</v>
      </c>
      <c r="U16" s="14" t="s">
        <v>24</v>
      </c>
      <c r="V16" s="427">
        <f t="shared" si="4"/>
        <v>6.8945522183999991E-2</v>
      </c>
      <c r="W16" s="14" t="s">
        <v>24</v>
      </c>
      <c r="X16" s="427">
        <f>$D$40/1000000*$D16*H16*7000*0.0011023</f>
        <v>1.3788979344000002E-2</v>
      </c>
      <c r="Y16" s="14" t="s">
        <v>24</v>
      </c>
      <c r="Z16" s="437">
        <f>T16*$E$38+V16*$E$39+X16*$E$40</f>
        <v>1705.5696941419917</v>
      </c>
      <c r="AA16" s="27" t="s">
        <v>24</v>
      </c>
      <c r="AB16" s="435">
        <f t="shared" si="8"/>
        <v>29.881220182351996</v>
      </c>
      <c r="AC16" s="14" t="s">
        <v>24</v>
      </c>
      <c r="AD16" s="427">
        <f t="shared" si="9"/>
        <v>1.2120559835999999E-3</v>
      </c>
      <c r="AE16" s="14" t="s">
        <v>24</v>
      </c>
      <c r="AF16" s="436">
        <f t="shared" si="7"/>
        <v>2.4241119671999998E-4</v>
      </c>
      <c r="AG16" s="14" t="s">
        <v>24</v>
      </c>
      <c r="AH16" s="437">
        <f>AB16*$E$38+AD16*$E$39+AF16*$E$40</f>
        <v>29.983760118564557</v>
      </c>
      <c r="AI16" s="27" t="s">
        <v>24</v>
      </c>
    </row>
    <row r="17" spans="1:35" ht="17.100000000000001" customHeight="1" x14ac:dyDescent="0.2">
      <c r="A17" s="5">
        <f>Inventory!A14</f>
        <v>25</v>
      </c>
      <c r="B17" s="6" t="str">
        <f>Inventory!B14</f>
        <v>Caterpillar 3208</v>
      </c>
      <c r="C17" s="10" t="str">
        <f>Inventory!D14</f>
        <v>Diesel</v>
      </c>
      <c r="D17" s="13">
        <f>Inventory!E14</f>
        <v>250</v>
      </c>
      <c r="E17" s="93" t="str">
        <f>Inventory!F14</f>
        <v>hp</v>
      </c>
      <c r="F17" s="8">
        <f>Inventory!G14</f>
        <v>3000</v>
      </c>
      <c r="G17" s="9" t="s">
        <v>5</v>
      </c>
      <c r="H17" s="8">
        <f>Inventory!I14</f>
        <v>8760</v>
      </c>
      <c r="I17" s="28" t="str">
        <f>Inventory!J14</f>
        <v>hr/yr</v>
      </c>
      <c r="J17" s="143">
        <f>Inventory!K14</f>
        <v>510</v>
      </c>
      <c r="K17" s="26" t="str">
        <f>Inventory!L14</f>
        <v>hr/yr</v>
      </c>
      <c r="L17" s="95">
        <f>$D$38/1000000*$D17*F17*7000*0.00110231</f>
        <v>428.0159498999999</v>
      </c>
      <c r="M17" s="9" t="s">
        <v>24</v>
      </c>
      <c r="N17" s="117">
        <f>$D$39/1000000*$D17*F17*7000*0.00110231</f>
        <v>1.7361382500000001E-2</v>
      </c>
      <c r="O17" s="9" t="s">
        <v>24</v>
      </c>
      <c r="P17" s="99">
        <f>$D$40/1000000*$D17*F17*7000*0.00110231</f>
        <v>3.4722765E-3</v>
      </c>
      <c r="Q17" s="9" t="s">
        <v>24</v>
      </c>
      <c r="R17" s="94">
        <f>L17*$E$38+N17*$E$39+P17*$E$40</f>
        <v>429.48472285949993</v>
      </c>
      <c r="S17" s="26" t="s">
        <v>24</v>
      </c>
      <c r="T17" s="95">
        <f t="shared" si="3"/>
        <v>1249.8065737079999</v>
      </c>
      <c r="U17" s="9" t="s">
        <v>24</v>
      </c>
      <c r="V17" s="117">
        <f t="shared" si="4"/>
        <v>5.0695236900000003E-2</v>
      </c>
      <c r="W17" s="9" t="s">
        <v>24</v>
      </c>
      <c r="X17" s="117">
        <f>$D$40/1000000*$D17*H17*7000*0.0011023</f>
        <v>1.0138955399999998E-2</v>
      </c>
      <c r="Y17" s="9" t="s">
        <v>24</v>
      </c>
      <c r="Z17" s="94">
        <f>T17*$E$38+V17*$E$39+X17*$E$40</f>
        <v>1254.0953633396998</v>
      </c>
      <c r="AA17" s="26" t="s">
        <v>24</v>
      </c>
      <c r="AB17" s="95">
        <f t="shared" si="8"/>
        <v>72.76271148299999</v>
      </c>
      <c r="AC17" s="9" t="s">
        <v>24</v>
      </c>
      <c r="AD17" s="117">
        <f t="shared" si="9"/>
        <v>2.951435025E-3</v>
      </c>
      <c r="AE17" s="9" t="s">
        <v>24</v>
      </c>
      <c r="AF17" s="99">
        <f t="shared" si="7"/>
        <v>5.9028700500000008E-4</v>
      </c>
      <c r="AG17" s="9" t="s">
        <v>24</v>
      </c>
      <c r="AH17" s="94">
        <f>AB17*$E$38+AD17*$E$39+AF17*$E$40</f>
        <v>73.012402886114998</v>
      </c>
      <c r="AI17" s="26" t="s">
        <v>24</v>
      </c>
    </row>
    <row r="18" spans="1:35" ht="17.100000000000001" customHeight="1" x14ac:dyDescent="0.2">
      <c r="A18" s="5" t="str">
        <f>Inventory!A15</f>
        <v>26a</v>
      </c>
      <c r="B18" s="6" t="str">
        <f>Inventory!B15</f>
        <v>Detroit Diesel Series 60 6063HV35</v>
      </c>
      <c r="C18" s="10" t="str">
        <f>Inventory!D15</f>
        <v>Diesel</v>
      </c>
      <c r="D18" s="13">
        <f>Inventory!E15</f>
        <v>685</v>
      </c>
      <c r="E18" s="93" t="str">
        <f>Inventory!F15</f>
        <v>hp</v>
      </c>
      <c r="F18" s="8">
        <f>Inventory!G15</f>
        <v>500</v>
      </c>
      <c r="G18" s="9" t="s">
        <v>5</v>
      </c>
      <c r="H18" s="8">
        <f>Inventory!I15</f>
        <v>8760</v>
      </c>
      <c r="I18" s="29" t="str">
        <f>Inventory!J15</f>
        <v>hr/yr</v>
      </c>
      <c r="J18" s="143">
        <f>Inventory!K15</f>
        <v>1</v>
      </c>
      <c r="K18" s="27" t="str">
        <f>Inventory!L15</f>
        <v>hr/yr</v>
      </c>
      <c r="L18" s="95">
        <f>$D$38/1000000*$D18*F18*7000*0.00110231</f>
        <v>195.46061712100001</v>
      </c>
      <c r="M18" s="14" t="s">
        <v>24</v>
      </c>
      <c r="N18" s="117">
        <f>$D$39/1000000*$D18*F18*7000*0.00110231</f>
        <v>7.9283646750000006E-3</v>
      </c>
      <c r="O18" s="14" t="s">
        <v>24</v>
      </c>
      <c r="P18" s="99">
        <f>$D$40/1000000*$D18*F18*7000*0.00110231</f>
        <v>1.5856729350000002E-3</v>
      </c>
      <c r="Q18" s="14" t="s">
        <v>24</v>
      </c>
      <c r="R18" s="94">
        <f>L18*$E$38+N18*$E$39+P18*$E$40</f>
        <v>196.13135677250503</v>
      </c>
      <c r="S18" s="27" t="s">
        <v>24</v>
      </c>
      <c r="T18" s="95">
        <f t="shared" si="3"/>
        <v>3424.4700119599202</v>
      </c>
      <c r="U18" s="14" t="s">
        <v>24</v>
      </c>
      <c r="V18" s="114">
        <f t="shared" si="4"/>
        <v>0.13890494910600001</v>
      </c>
      <c r="W18" s="14" t="s">
        <v>24</v>
      </c>
      <c r="X18" s="117">
        <f>$D$40/1000000*$D18*H18*7000*0.0011023</f>
        <v>2.7780737796000002E-2</v>
      </c>
      <c r="Y18" s="14" t="s">
        <v>24</v>
      </c>
      <c r="Z18" s="94">
        <f>T18*$E$38+V18*$E$39+X18*$E$40</f>
        <v>3436.221295550778</v>
      </c>
      <c r="AA18" s="27" t="s">
        <v>24</v>
      </c>
      <c r="AB18" s="95">
        <f t="shared" si="8"/>
        <v>0.39092123424200004</v>
      </c>
      <c r="AC18" s="14" t="s">
        <v>24</v>
      </c>
      <c r="AD18" s="117">
        <f t="shared" si="9"/>
        <v>1.585672935E-5</v>
      </c>
      <c r="AE18" s="14" t="s">
        <v>24</v>
      </c>
      <c r="AF18" s="99">
        <f t="shared" si="7"/>
        <v>3.1713458700000002E-6</v>
      </c>
      <c r="AG18" s="14" t="s">
        <v>24</v>
      </c>
      <c r="AH18" s="141">
        <f>AB18*$E$38+AD18*$E$39+AF18*$E$40</f>
        <v>0.39226271354501002</v>
      </c>
      <c r="AI18" s="27" t="s">
        <v>24</v>
      </c>
    </row>
    <row r="19" spans="1:35" ht="17.100000000000001" customHeight="1" thickBot="1" x14ac:dyDescent="0.25">
      <c r="A19" s="15">
        <f>Inventory!A16</f>
        <v>27</v>
      </c>
      <c r="B19" s="16" t="str">
        <f>Inventory!B16</f>
        <v>Caterpillar D-330C</v>
      </c>
      <c r="C19" s="403" t="str">
        <f>Inventory!D16</f>
        <v>Diesel</v>
      </c>
      <c r="D19" s="409">
        <f>Inventory!E16</f>
        <v>85</v>
      </c>
      <c r="E19" s="441" t="str">
        <f>Inventory!F16</f>
        <v>hp</v>
      </c>
      <c r="F19" s="81">
        <f>Inventory!G16</f>
        <v>3000</v>
      </c>
      <c r="G19" s="91" t="s">
        <v>5</v>
      </c>
      <c r="H19" s="81">
        <f>Inventory!I16</f>
        <v>8760</v>
      </c>
      <c r="I19" s="82" t="str">
        <f>Inventory!J16</f>
        <v>hr/yr</v>
      </c>
      <c r="J19" s="142">
        <f>Inventory!K16</f>
        <v>19.5</v>
      </c>
      <c r="K19" s="83" t="str">
        <f>Inventory!L16</f>
        <v>hr/yr</v>
      </c>
      <c r="L19" s="96">
        <f>$D$38/1000000*$D19*F19*7000*0.00110231</f>
        <v>145.52542296599998</v>
      </c>
      <c r="M19" s="91" t="s">
        <v>24</v>
      </c>
      <c r="N19" s="316">
        <f>$D$39/1000000*$D19*F19*7000*0.00110231</f>
        <v>5.90287005E-3</v>
      </c>
      <c r="O19" s="91" t="s">
        <v>24</v>
      </c>
      <c r="P19" s="442">
        <f>$D$40/1000000*$D19*F19*7000*0.00110231</f>
        <v>1.1805740099999999E-3</v>
      </c>
      <c r="Q19" s="91" t="s">
        <v>24</v>
      </c>
      <c r="R19" s="412">
        <f>L19*$E$38+N19*$E$39+P19*$E$40</f>
        <v>146.02480577223</v>
      </c>
      <c r="S19" s="83" t="s">
        <v>24</v>
      </c>
      <c r="T19" s="96">
        <f t="shared" si="3"/>
        <v>424.93423506071991</v>
      </c>
      <c r="U19" s="91" t="s">
        <v>24</v>
      </c>
      <c r="V19" s="316">
        <f t="shared" si="4"/>
        <v>1.7236380545999998E-2</v>
      </c>
      <c r="W19" s="91" t="s">
        <v>24</v>
      </c>
      <c r="X19" s="316">
        <f>$D$40/1000000*$D19*H19*7000*0.0011023</f>
        <v>3.4472448360000005E-3</v>
      </c>
      <c r="Y19" s="91" t="s">
        <v>24</v>
      </c>
      <c r="Z19" s="412">
        <f>T19*$E$38+V19*$E$39+X19*$E$40</f>
        <v>426.39242353549793</v>
      </c>
      <c r="AA19" s="83" t="s">
        <v>24</v>
      </c>
      <c r="AB19" s="96">
        <f t="shared" si="8"/>
        <v>0.94591524927899984</v>
      </c>
      <c r="AC19" s="91" t="s">
        <v>24</v>
      </c>
      <c r="AD19" s="316">
        <f t="shared" si="9"/>
        <v>3.8368655324999997E-5</v>
      </c>
      <c r="AE19" s="91" t="s">
        <v>24</v>
      </c>
      <c r="AF19" s="442">
        <f t="shared" si="7"/>
        <v>7.6737310649999994E-6</v>
      </c>
      <c r="AG19" s="91" t="s">
        <v>24</v>
      </c>
      <c r="AH19" s="443">
        <f>AB19*$E$38+AD19*$E$39+AF19*$E$40</f>
        <v>0.94916123751949488</v>
      </c>
      <c r="AI19" s="83" t="s">
        <v>24</v>
      </c>
    </row>
    <row r="20" spans="1:35" ht="17.100000000000001" customHeight="1" thickBot="1" x14ac:dyDescent="0.25">
      <c r="E20" s="70" t="s">
        <v>23</v>
      </c>
      <c r="K20" s="70"/>
      <c r="L20" s="439">
        <f>SUM(L5:L19)</f>
        <v>147439.16839494411</v>
      </c>
      <c r="M20" s="432" t="s">
        <v>24</v>
      </c>
      <c r="N20" s="139">
        <f>SUM(N5:N19)</f>
        <v>2.8080657769028199</v>
      </c>
      <c r="O20" s="432" t="s">
        <v>24</v>
      </c>
      <c r="P20" s="139">
        <f>SUM(P5:P19)</f>
        <v>0.28628698743278197</v>
      </c>
      <c r="Q20" s="138" t="s">
        <v>24</v>
      </c>
      <c r="R20" s="440">
        <f>SUM(R5:R19)</f>
        <v>147594.68356162164</v>
      </c>
      <c r="S20" s="36" t="s">
        <v>24</v>
      </c>
      <c r="T20" s="439">
        <f>SUM(T5:T19)</f>
        <v>754487.16657678015</v>
      </c>
      <c r="U20" s="432" t="s">
        <v>24</v>
      </c>
      <c r="V20" s="139">
        <f>SUM(V5:V19)</f>
        <v>14.367154475012082</v>
      </c>
      <c r="W20" s="432" t="s">
        <v>24</v>
      </c>
      <c r="X20" s="139">
        <f>SUM(X5:X19)</f>
        <v>1.4642342313014929</v>
      </c>
      <c r="Y20" s="138" t="s">
        <v>24</v>
      </c>
      <c r="Z20" s="440">
        <f>SUM(Z5:Z19)</f>
        <v>755282.68723958335</v>
      </c>
      <c r="AA20" s="36" t="s">
        <v>24</v>
      </c>
      <c r="AB20" s="439">
        <f>SUM(AB5:AB19)</f>
        <v>74185.342586116298</v>
      </c>
      <c r="AC20" s="432" t="s">
        <v>24</v>
      </c>
      <c r="AD20" s="139">
        <f>SUM(AD5:AD19)</f>
        <v>1.4003986779079272</v>
      </c>
      <c r="AE20" s="432" t="s">
        <v>24</v>
      </c>
      <c r="AF20" s="139">
        <f>SUM(AF5:AF19)</f>
        <v>0.14046163943012019</v>
      </c>
      <c r="AG20" s="138" t="s">
        <v>24</v>
      </c>
      <c r="AH20" s="440">
        <f>SUM(AH5:AH19)</f>
        <v>74262.210121614189</v>
      </c>
      <c r="AI20" s="36" t="s">
        <v>24</v>
      </c>
    </row>
    <row r="21" spans="1:35" ht="17.100000000000001" customHeight="1" x14ac:dyDescent="0.2"/>
    <row r="22" spans="1:35" ht="17.100000000000001" customHeight="1" x14ac:dyDescent="0.2"/>
    <row r="23" spans="1:35" ht="17.100000000000001" customHeight="1" x14ac:dyDescent="0.25">
      <c r="A23" s="517" t="s">
        <v>223</v>
      </c>
      <c r="B23" s="517"/>
      <c r="C23" s="517"/>
      <c r="D23" s="517"/>
      <c r="E23" s="517"/>
      <c r="F23" s="517"/>
      <c r="G23" s="517"/>
      <c r="H23" s="517"/>
      <c r="I23" s="517"/>
      <c r="J23" s="517"/>
      <c r="K23" s="517"/>
      <c r="L23" s="517"/>
      <c r="M23" s="517"/>
      <c r="N23" s="517"/>
      <c r="O23" s="517"/>
      <c r="P23" s="517"/>
      <c r="Q23" s="517"/>
      <c r="R23" s="517"/>
      <c r="S23" s="517"/>
      <c r="T23" s="33"/>
      <c r="U23" s="33"/>
      <c r="V23" s="33"/>
    </row>
    <row r="24" spans="1:35" ht="17.100000000000001" customHeight="1" x14ac:dyDescent="0.2">
      <c r="A24" s="517" t="str">
        <f>A2</f>
        <v>Hilcorp Alaska, LLC - Grayling Platform</v>
      </c>
      <c r="B24" s="517"/>
      <c r="C24" s="517"/>
      <c r="D24" s="517"/>
      <c r="E24" s="517"/>
      <c r="F24" s="517"/>
      <c r="G24" s="517"/>
      <c r="H24" s="517"/>
      <c r="I24" s="517"/>
      <c r="J24" s="517"/>
      <c r="K24" s="517"/>
      <c r="L24" s="517"/>
      <c r="M24" s="517"/>
      <c r="N24" s="517"/>
      <c r="O24" s="517"/>
      <c r="P24" s="517"/>
      <c r="Q24" s="517"/>
      <c r="R24" s="517"/>
      <c r="S24" s="517"/>
      <c r="T24" s="33"/>
      <c r="U24" s="33"/>
      <c r="V24" s="33"/>
    </row>
    <row r="25" spans="1:35" ht="17.100000000000001" customHeight="1" thickBot="1" x14ac:dyDescent="0.25"/>
    <row r="26" spans="1:35" ht="30.95" customHeight="1" thickBot="1" x14ac:dyDescent="0.25">
      <c r="A26" s="104" t="s">
        <v>0</v>
      </c>
      <c r="B26" s="393" t="s">
        <v>205</v>
      </c>
      <c r="C26" s="393" t="s">
        <v>1</v>
      </c>
      <c r="D26" s="525" t="s">
        <v>2</v>
      </c>
      <c r="E26" s="525"/>
      <c r="F26" s="548" t="s">
        <v>3</v>
      </c>
      <c r="G26" s="561"/>
      <c r="H26" s="402"/>
      <c r="I26" s="402"/>
      <c r="J26" s="402"/>
      <c r="K26" s="402"/>
      <c r="L26" s="548" t="s">
        <v>258</v>
      </c>
      <c r="M26" s="561"/>
      <c r="N26" s="548" t="s">
        <v>259</v>
      </c>
      <c r="O26" s="561"/>
      <c r="P26" s="548" t="s">
        <v>260</v>
      </c>
      <c r="Q26" s="561"/>
      <c r="R26" s="548" t="s">
        <v>261</v>
      </c>
      <c r="S26" s="549"/>
    </row>
    <row r="27" spans="1:35" ht="17.100000000000001" customHeight="1" thickTop="1" x14ac:dyDescent="0.2">
      <c r="A27" s="5" t="str">
        <f>Inventory!A26</f>
        <v>N/A</v>
      </c>
      <c r="B27" s="6" t="str">
        <f>Inventory!B26</f>
        <v>Clayton ROG-60-1 Boiler</v>
      </c>
      <c r="C27" s="10" t="str">
        <f>Inventory!D26</f>
        <v>Fuel Gas</v>
      </c>
      <c r="D27" s="11">
        <f>Inventory!E26</f>
        <v>2.5</v>
      </c>
      <c r="E27" s="12" t="str">
        <f>Inventory!F26</f>
        <v>MMBtu/hr</v>
      </c>
      <c r="F27" s="19">
        <f>Inventory!G26</f>
        <v>8760</v>
      </c>
      <c r="G27" s="7" t="str">
        <f>Inventory!H26</f>
        <v>hr/yr</v>
      </c>
      <c r="L27" s="94">
        <f>$C$38*$D27*F27*0.0011023</f>
        <v>1280.8880322</v>
      </c>
      <c r="M27" s="407" t="s">
        <v>24</v>
      </c>
      <c r="N27" s="99">
        <f>$C$39*$D27*F27*0.0011023</f>
        <v>2.4140370000000005E-2</v>
      </c>
      <c r="O27" s="407" t="s">
        <v>24</v>
      </c>
      <c r="P27" s="99">
        <f>$C$40*$D27*F27*0.0011023</f>
        <v>2.414037E-3</v>
      </c>
      <c r="Q27" s="407" t="s">
        <v>24</v>
      </c>
      <c r="R27" s="103">
        <f t="shared" ref="R27:R31" si="14">L27*$E$38+N27*$E$39+P27*$E$40</f>
        <v>1282.2109244759999</v>
      </c>
      <c r="S27" s="110" t="s">
        <v>24</v>
      </c>
    </row>
    <row r="28" spans="1:35" ht="17.100000000000001" customHeight="1" x14ac:dyDescent="0.2">
      <c r="A28" s="5" t="str">
        <f>Inventory!A27</f>
        <v>N/A</v>
      </c>
      <c r="B28" s="6" t="str">
        <f>Inventory!B27</f>
        <v>Portable Space Heaters</v>
      </c>
      <c r="C28" s="10" t="str">
        <f>Inventory!D27</f>
        <v>Diesel</v>
      </c>
      <c r="D28" s="11">
        <f>Inventory!E27</f>
        <v>8</v>
      </c>
      <c r="E28" s="12" t="str">
        <f>Inventory!F27</f>
        <v>MMBtu/hr</v>
      </c>
      <c r="F28" s="19">
        <f>Inventory!G27</f>
        <v>8760</v>
      </c>
      <c r="G28" s="7" t="str">
        <f>Inventory!H27</f>
        <v>hr/yr</v>
      </c>
      <c r="L28" s="94">
        <f>$D$38*$D28*F28*0.0011023</f>
        <v>5713.3496486399999</v>
      </c>
      <c r="M28" s="407" t="s">
        <v>24</v>
      </c>
      <c r="N28" s="99">
        <f>$D$39*$D28*F28*0.0011023</f>
        <v>0.23174755200000002</v>
      </c>
      <c r="O28" s="407" t="s">
        <v>24</v>
      </c>
      <c r="P28" s="99">
        <f>$D$40*$D28*F28*0.0011023</f>
        <v>4.6349510399999995E-2</v>
      </c>
      <c r="Q28" s="407" t="s">
        <v>24</v>
      </c>
      <c r="R28" s="8">
        <f t="shared" si="14"/>
        <v>5732.9554915392</v>
      </c>
      <c r="S28" s="110" t="s">
        <v>24</v>
      </c>
    </row>
    <row r="29" spans="1:35" ht="17.100000000000001" customHeight="1" x14ac:dyDescent="0.2">
      <c r="A29" s="5" t="str">
        <f>Inventory!A28</f>
        <v>N/A</v>
      </c>
      <c r="B29" s="6" t="str">
        <f>Inventory!B28</f>
        <v>Clayton Sigma Fire</v>
      </c>
      <c r="C29" s="10" t="str">
        <f>Inventory!D28</f>
        <v>Fuel Gas</v>
      </c>
      <c r="D29" s="11">
        <f>Inventory!E28</f>
        <v>50</v>
      </c>
      <c r="E29" s="12" t="str">
        <f>Inventory!F28</f>
        <v>bhp</v>
      </c>
      <c r="F29" s="19">
        <f>Inventory!G28</f>
        <v>8760</v>
      </c>
      <c r="G29" s="7" t="str">
        <f>Inventory!H28</f>
        <v>hr/yr</v>
      </c>
      <c r="L29" s="8">
        <f>$C$38/1000000*$D29*F29*0.0011023*C47</f>
        <v>857.65700860047593</v>
      </c>
      <c r="M29" s="407" t="s">
        <v>24</v>
      </c>
      <c r="N29" s="105">
        <f>$C$39/1000000*$D29*F29*0.0011023*C47</f>
        <v>1.61639089446E-2</v>
      </c>
      <c r="O29" s="407" t="s">
        <v>24</v>
      </c>
      <c r="P29" s="105">
        <f>$C$39/1000000*$D29*F29*0.0011023*C47</f>
        <v>1.61639089446E-2</v>
      </c>
      <c r="Q29" s="407" t="s">
        <v>24</v>
      </c>
      <c r="R29" s="8">
        <f t="shared" si="14"/>
        <v>862.87795118958172</v>
      </c>
      <c r="S29" s="110" t="s">
        <v>24</v>
      </c>
    </row>
    <row r="30" spans="1:35" ht="17.100000000000001" customHeight="1" x14ac:dyDescent="0.2">
      <c r="A30" s="5" t="str">
        <f>Inventory!A29</f>
        <v>19a</v>
      </c>
      <c r="B30" s="6" t="str">
        <f>Inventory!B29</f>
        <v>Riello AR 400 Boiler</v>
      </c>
      <c r="C30" s="10" t="str">
        <f>Inventory!D29</f>
        <v>Fuel Gas</v>
      </c>
      <c r="D30" s="11">
        <f>Inventory!E29</f>
        <v>4</v>
      </c>
      <c r="E30" s="12" t="str">
        <f>Inventory!F29</f>
        <v>MMBtu/hr</v>
      </c>
      <c r="F30" s="19">
        <f>Inventory!G29</f>
        <v>8760</v>
      </c>
      <c r="G30" s="7" t="str">
        <f>Inventory!H29</f>
        <v>hr/yr</v>
      </c>
      <c r="L30" s="94">
        <f>$C$38*$D30*F30*0.0011023</f>
        <v>2049.4208515200003</v>
      </c>
      <c r="M30" s="407" t="s">
        <v>24</v>
      </c>
      <c r="N30" s="99">
        <f>$C$39*$D30*F30*0.0011023</f>
        <v>3.8624591999999999E-2</v>
      </c>
      <c r="O30" s="407" t="s">
        <v>24</v>
      </c>
      <c r="P30" s="99">
        <f>$C$40*$D30*F30*0.0011023</f>
        <v>3.8624592000000004E-3</v>
      </c>
      <c r="Q30" s="407" t="s">
        <v>24</v>
      </c>
      <c r="R30" s="8">
        <f t="shared" si="14"/>
        <v>2051.5374791616</v>
      </c>
      <c r="S30" s="110" t="s">
        <v>24</v>
      </c>
    </row>
    <row r="31" spans="1:35" ht="17.100000000000001" customHeight="1" x14ac:dyDescent="0.2">
      <c r="A31" s="5" t="str">
        <f>Inventory!A30</f>
        <v>19b</v>
      </c>
      <c r="B31" s="6" t="str">
        <f>Inventory!B30</f>
        <v>Riello AR 400 Boiler</v>
      </c>
      <c r="C31" s="10" t="str">
        <f>Inventory!D30</f>
        <v>Fuel Gas</v>
      </c>
      <c r="D31" s="11">
        <f>Inventory!E30</f>
        <v>4</v>
      </c>
      <c r="E31" s="12" t="str">
        <f>Inventory!F30</f>
        <v>MMBtu/hr</v>
      </c>
      <c r="F31" s="19">
        <f>Inventory!G30</f>
        <v>8760</v>
      </c>
      <c r="G31" s="7" t="str">
        <f>Inventory!H30</f>
        <v>hr/yr</v>
      </c>
      <c r="L31" s="94">
        <f>$C$38*$D31*F31*0.0011023</f>
        <v>2049.4208515200003</v>
      </c>
      <c r="M31" s="407" t="s">
        <v>24</v>
      </c>
      <c r="N31" s="99">
        <f>$C$39*$D31*F31*0.0011023</f>
        <v>3.8624591999999999E-2</v>
      </c>
      <c r="O31" s="407" t="s">
        <v>24</v>
      </c>
      <c r="P31" s="99">
        <f>$C$40*$D31*F31*0.0011023</f>
        <v>3.8624592000000004E-3</v>
      </c>
      <c r="Q31" s="407" t="s">
        <v>24</v>
      </c>
      <c r="R31" s="8">
        <f t="shared" si="14"/>
        <v>2051.5374791616</v>
      </c>
      <c r="S31" s="110" t="s">
        <v>24</v>
      </c>
    </row>
    <row r="32" spans="1:35" ht="17.100000000000001" customHeight="1" x14ac:dyDescent="0.2">
      <c r="A32" s="5" t="str">
        <f>Inventory!A31</f>
        <v>20a</v>
      </c>
      <c r="B32" s="6" t="str">
        <f>Inventory!B31</f>
        <v>Riello AR 400 Boiler</v>
      </c>
      <c r="C32" s="10" t="str">
        <f>Inventory!D31</f>
        <v>Fuel Gas</v>
      </c>
      <c r="D32" s="11">
        <f>Inventory!E31</f>
        <v>4</v>
      </c>
      <c r="E32" s="12" t="str">
        <f>Inventory!F31</f>
        <v>MMBtu/hr</v>
      </c>
      <c r="F32" s="19">
        <f>Inventory!G31</f>
        <v>8760</v>
      </c>
      <c r="G32" s="7" t="str">
        <f>Inventory!H31</f>
        <v>hr/yr</v>
      </c>
      <c r="L32" s="94">
        <f>$C$38*$D32*F32*0.0011023</f>
        <v>2049.4208515200003</v>
      </c>
      <c r="M32" s="407" t="s">
        <v>24</v>
      </c>
      <c r="N32" s="99">
        <f>$C$39*$D32*F32*0.0011023</f>
        <v>3.8624591999999999E-2</v>
      </c>
      <c r="O32" s="407" t="s">
        <v>24</v>
      </c>
      <c r="P32" s="99">
        <f>$C$40*$D32*F32*0.0011023</f>
        <v>3.8624592000000004E-3</v>
      </c>
      <c r="Q32" s="407" t="s">
        <v>24</v>
      </c>
      <c r="R32" s="8">
        <f t="shared" ref="R32" si="15">L32*$E$38+N32*$E$39+P32*$E$40</f>
        <v>2051.5374791616</v>
      </c>
      <c r="S32" s="110" t="s">
        <v>24</v>
      </c>
    </row>
    <row r="33" spans="1:19" ht="17.100000000000001" customHeight="1" thickBot="1" x14ac:dyDescent="0.25">
      <c r="A33" s="15" t="str">
        <f>Inventory!A32</f>
        <v>N/A</v>
      </c>
      <c r="B33" s="16" t="str">
        <f>Inventory!B32</f>
        <v>Diesel Fuel Tank (G-T-3090)</v>
      </c>
      <c r="C33" s="403" t="str">
        <f>Inventory!D32</f>
        <v>N/A</v>
      </c>
      <c r="D33" s="409">
        <f>Inventory!E32</f>
        <v>2547</v>
      </c>
      <c r="E33" s="17" t="str">
        <f>Inventory!F32</f>
        <v>barrels</v>
      </c>
      <c r="F33" s="20">
        <f>Inventory!G32</f>
        <v>3</v>
      </c>
      <c r="G33" s="21" t="str">
        <f>Inventory!H32</f>
        <v>turnovers/yr</v>
      </c>
      <c r="H33" s="371"/>
      <c r="I33" s="371"/>
      <c r="J33" s="371"/>
      <c r="K33" s="371"/>
      <c r="L33" s="412">
        <v>0</v>
      </c>
      <c r="M33" s="88" t="s">
        <v>24</v>
      </c>
      <c r="N33" s="82">
        <v>0</v>
      </c>
      <c r="O33" s="88" t="s">
        <v>24</v>
      </c>
      <c r="P33" s="82">
        <v>0</v>
      </c>
      <c r="Q33" s="88" t="s">
        <v>24</v>
      </c>
      <c r="R33" s="81">
        <f t="shared" ref="R33" si="16">L33*$E$38+N33*$E$39+P33*$E$40</f>
        <v>0</v>
      </c>
      <c r="S33" s="97" t="s">
        <v>24</v>
      </c>
    </row>
    <row r="34" spans="1:19" ht="17.100000000000001" customHeight="1" thickBot="1" x14ac:dyDescent="0.25">
      <c r="A34" s="23"/>
      <c r="B34" s="2"/>
      <c r="C34" s="2"/>
      <c r="D34" s="22"/>
      <c r="E34" s="70" t="s">
        <v>23</v>
      </c>
      <c r="L34" s="106">
        <f>SUM(L27:L33)</f>
        <v>14000.157244000478</v>
      </c>
      <c r="M34" s="107" t="s">
        <v>24</v>
      </c>
      <c r="N34" s="101">
        <f>SUM(N27:N33)</f>
        <v>0.3879256069446001</v>
      </c>
      <c r="O34" s="107" t="s">
        <v>24</v>
      </c>
      <c r="P34" s="101">
        <f>SUM(P27:P33)</f>
        <v>7.65148339446E-2</v>
      </c>
      <c r="Q34" s="108" t="s">
        <v>24</v>
      </c>
      <c r="R34" s="109">
        <f>SUM(R27:R33)</f>
        <v>14032.656804689581</v>
      </c>
      <c r="S34" s="102" t="s">
        <v>24</v>
      </c>
    </row>
    <row r="35" spans="1:19" ht="17.100000000000001" customHeight="1" x14ac:dyDescent="0.2">
      <c r="A35" s="446" t="s">
        <v>25</v>
      </c>
      <c r="B35" s="55"/>
      <c r="C35" s="2"/>
      <c r="D35" s="22"/>
      <c r="E35" s="70"/>
      <c r="L35" s="327"/>
      <c r="M35" s="38"/>
      <c r="N35" s="328"/>
      <c r="O35" s="38"/>
      <c r="P35" s="328"/>
      <c r="Q35" s="38"/>
      <c r="R35" s="327"/>
      <c r="S35" s="38"/>
    </row>
    <row r="36" spans="1:19" ht="17.100000000000001" customHeight="1" x14ac:dyDescent="0.2">
      <c r="A36" s="320">
        <v>1</v>
      </c>
      <c r="B36" s="35" t="s">
        <v>116</v>
      </c>
      <c r="C36" s="2"/>
      <c r="D36" s="22"/>
      <c r="E36" s="70"/>
      <c r="L36" s="327"/>
      <c r="M36" s="38"/>
      <c r="N36" s="328"/>
      <c r="O36" s="38"/>
      <c r="P36" s="328"/>
      <c r="Q36" s="38"/>
      <c r="R36" s="327"/>
      <c r="S36" s="38"/>
    </row>
    <row r="37" spans="1:19" ht="17.100000000000001" customHeight="1" x14ac:dyDescent="0.2">
      <c r="A37" s="55"/>
      <c r="B37" s="330" t="s">
        <v>117</v>
      </c>
      <c r="C37" s="331" t="s">
        <v>118</v>
      </c>
      <c r="D37" s="331" t="s">
        <v>10</v>
      </c>
      <c r="E37" s="331" t="s">
        <v>119</v>
      </c>
      <c r="L37" s="327"/>
      <c r="M37" s="38"/>
      <c r="N37" s="328"/>
      <c r="O37" s="38"/>
      <c r="P37" s="328"/>
      <c r="Q37" s="38"/>
      <c r="R37" s="327"/>
      <c r="S37" s="38"/>
    </row>
    <row r="38" spans="1:19" ht="17.100000000000001" customHeight="1" x14ac:dyDescent="0.2">
      <c r="A38" s="55"/>
      <c r="B38" s="314" t="s">
        <v>243</v>
      </c>
      <c r="C38" s="314">
        <v>53.06</v>
      </c>
      <c r="D38" s="314">
        <v>73.959999999999994</v>
      </c>
      <c r="E38" s="314">
        <v>1</v>
      </c>
      <c r="L38" s="327"/>
      <c r="M38" s="38"/>
      <c r="N38" s="328"/>
      <c r="O38" s="38"/>
      <c r="P38" s="328"/>
      <c r="Q38" s="38"/>
      <c r="R38" s="327"/>
      <c r="S38" s="38"/>
    </row>
    <row r="39" spans="1:19" ht="17.100000000000001" customHeight="1" x14ac:dyDescent="0.2">
      <c r="A39" s="55"/>
      <c r="B39" s="314" t="s">
        <v>244</v>
      </c>
      <c r="C39" s="329">
        <v>1E-3</v>
      </c>
      <c r="D39" s="329">
        <v>3.0000000000000001E-3</v>
      </c>
      <c r="E39" s="314">
        <v>25</v>
      </c>
      <c r="L39" s="327"/>
      <c r="M39" s="38"/>
      <c r="N39" s="328"/>
      <c r="O39" s="38"/>
      <c r="P39" s="328"/>
      <c r="Q39" s="38"/>
      <c r="R39" s="327"/>
      <c r="S39" s="38"/>
    </row>
    <row r="40" spans="1:19" ht="17.100000000000001" customHeight="1" x14ac:dyDescent="0.2">
      <c r="A40" s="23"/>
      <c r="B40" s="314" t="s">
        <v>245</v>
      </c>
      <c r="C40" s="329">
        <v>1E-4</v>
      </c>
      <c r="D40" s="329">
        <v>5.9999999999999995E-4</v>
      </c>
      <c r="E40" s="314">
        <v>298</v>
      </c>
      <c r="L40" s="327"/>
      <c r="M40" s="38"/>
      <c r="N40" s="328"/>
      <c r="O40" s="38"/>
      <c r="P40" s="328"/>
      <c r="Q40" s="38"/>
      <c r="R40" s="327"/>
      <c r="S40" s="38"/>
    </row>
    <row r="41" spans="1:19" ht="17.100000000000001" customHeight="1" x14ac:dyDescent="0.2">
      <c r="A41" s="446" t="s">
        <v>168</v>
      </c>
      <c r="B41" s="55"/>
      <c r="C41" s="55"/>
      <c r="D41" s="35"/>
      <c r="E41" s="35"/>
      <c r="F41" s="35"/>
    </row>
    <row r="42" spans="1:19" ht="17.100000000000001" customHeight="1" x14ac:dyDescent="0.2">
      <c r="A42" s="35"/>
      <c r="B42" s="56" t="s">
        <v>101</v>
      </c>
      <c r="C42" s="84">
        <v>8960</v>
      </c>
      <c r="D42" s="34" t="s">
        <v>15</v>
      </c>
      <c r="E42" s="35"/>
      <c r="F42" s="35"/>
    </row>
    <row r="43" spans="1:19" ht="17.100000000000001" customHeight="1" x14ac:dyDescent="0.2">
      <c r="A43" s="35"/>
      <c r="B43" s="56" t="s">
        <v>102</v>
      </c>
      <c r="C43" s="84">
        <v>11138</v>
      </c>
      <c r="D43" s="34" t="s">
        <v>15</v>
      </c>
      <c r="E43" s="35"/>
      <c r="F43" s="35"/>
    </row>
    <row r="44" spans="1:19" ht="17.100000000000001" customHeight="1" x14ac:dyDescent="0.2">
      <c r="A44" s="35"/>
      <c r="B44" s="56" t="s">
        <v>103</v>
      </c>
      <c r="C44" s="84">
        <v>16122</v>
      </c>
      <c r="D44" s="34" t="s">
        <v>104</v>
      </c>
      <c r="E44" s="35"/>
      <c r="F44" s="35"/>
    </row>
    <row r="45" spans="1:19" ht="17.100000000000001" customHeight="1" x14ac:dyDescent="0.2">
      <c r="A45" s="35"/>
      <c r="B45" s="56" t="s">
        <v>105</v>
      </c>
      <c r="C45" s="84">
        <v>11277</v>
      </c>
      <c r="D45" s="34" t="s">
        <v>15</v>
      </c>
      <c r="E45" s="319"/>
      <c r="F45" s="35"/>
    </row>
    <row r="46" spans="1:19" ht="17.100000000000001" customHeight="1" x14ac:dyDescent="0.2">
      <c r="A46" s="35"/>
      <c r="B46" s="56" t="s">
        <v>13</v>
      </c>
      <c r="C46" s="84">
        <v>1017</v>
      </c>
      <c r="D46" s="34" t="s">
        <v>14</v>
      </c>
      <c r="E46" s="35"/>
      <c r="F46" s="35"/>
    </row>
    <row r="47" spans="1:19" ht="17.100000000000001" customHeight="1" x14ac:dyDescent="0.2">
      <c r="A47" s="35"/>
      <c r="B47" s="56" t="s">
        <v>106</v>
      </c>
      <c r="C47" s="84">
        <v>33479</v>
      </c>
      <c r="D47" s="34" t="s">
        <v>107</v>
      </c>
      <c r="E47" s="35"/>
      <c r="F47" s="35"/>
    </row>
    <row r="48" spans="1:19" ht="17.100000000000001" customHeight="1" x14ac:dyDescent="0.2">
      <c r="A48" s="35"/>
      <c r="B48" s="56" t="s">
        <v>11</v>
      </c>
      <c r="C48" s="84">
        <v>137000</v>
      </c>
      <c r="D48" s="34" t="s">
        <v>12</v>
      </c>
      <c r="E48" s="35"/>
      <c r="F48" s="35"/>
    </row>
    <row r="49" spans="1:12" ht="17.100000000000001" customHeight="1" x14ac:dyDescent="0.2">
      <c r="A49" s="35"/>
      <c r="C49" s="318"/>
      <c r="D49" s="35"/>
      <c r="E49" s="35"/>
      <c r="F49" s="35"/>
    </row>
    <row r="50" spans="1:12" ht="17.100000000000001" customHeight="1" x14ac:dyDescent="0.2">
      <c r="A50" s="35"/>
      <c r="F50" s="35"/>
      <c r="G50" s="53"/>
      <c r="H50" s="53"/>
      <c r="I50" s="53"/>
      <c r="J50" s="53"/>
      <c r="K50" s="53"/>
      <c r="L50" s="53"/>
    </row>
    <row r="51" spans="1:12" ht="17.100000000000001" customHeight="1" x14ac:dyDescent="0.2">
      <c r="A51" s="35"/>
      <c r="F51" s="35"/>
      <c r="G51" s="31"/>
      <c r="H51" s="31"/>
      <c r="I51" s="31"/>
      <c r="J51" s="31"/>
      <c r="K51" s="31"/>
      <c r="L51" s="31"/>
    </row>
    <row r="52" spans="1:12" ht="17.100000000000001" customHeight="1" x14ac:dyDescent="0.2">
      <c r="A52" s="35"/>
      <c r="F52" s="35"/>
      <c r="G52" s="31"/>
      <c r="H52" s="31"/>
      <c r="I52" s="31"/>
      <c r="J52" s="31"/>
      <c r="K52" s="31"/>
      <c r="L52" s="31"/>
    </row>
    <row r="53" spans="1:12" ht="17.100000000000001" customHeight="1" x14ac:dyDescent="0.2">
      <c r="A53" s="35"/>
      <c r="F53" s="35"/>
      <c r="G53" s="31"/>
      <c r="H53" s="31"/>
      <c r="I53" s="31"/>
      <c r="J53" s="31"/>
      <c r="K53" s="31"/>
      <c r="L53" s="31"/>
    </row>
    <row r="55" spans="1:12" x14ac:dyDescent="0.2">
      <c r="C55" s="35"/>
      <c r="D55" s="35"/>
    </row>
    <row r="56" spans="1:12" x14ac:dyDescent="0.2">
      <c r="C56" s="86"/>
      <c r="D56" s="35"/>
    </row>
  </sheetData>
  <mergeCells count="56">
    <mergeCell ref="S13:S14"/>
    <mergeCell ref="R13:R14"/>
    <mergeCell ref="AF4:AG4"/>
    <mergeCell ref="AH4:AI4"/>
    <mergeCell ref="AG13:AG14"/>
    <mergeCell ref="AH13:AH14"/>
    <mergeCell ref="X13:X14"/>
    <mergeCell ref="Y13:Y14"/>
    <mergeCell ref="Z13:Z14"/>
    <mergeCell ref="AA13:AA14"/>
    <mergeCell ref="AB13:AB14"/>
    <mergeCell ref="AC13:AC14"/>
    <mergeCell ref="AD13:AD14"/>
    <mergeCell ref="AE13:AE14"/>
    <mergeCell ref="V4:W4"/>
    <mergeCell ref="X4:Y4"/>
    <mergeCell ref="Z4:AA4"/>
    <mergeCell ref="AB4:AC4"/>
    <mergeCell ref="AD4:AE4"/>
    <mergeCell ref="L4:M4"/>
    <mergeCell ref="N4:O4"/>
    <mergeCell ref="P4:Q4"/>
    <mergeCell ref="R4:S4"/>
    <mergeCell ref="T4:U4"/>
    <mergeCell ref="I13:I14"/>
    <mergeCell ref="F13:F14"/>
    <mergeCell ref="AF13:AF14"/>
    <mergeCell ref="J13:J14"/>
    <mergeCell ref="K13:K14"/>
    <mergeCell ref="L13:L14"/>
    <mergeCell ref="T13:T14"/>
    <mergeCell ref="W13:W14"/>
    <mergeCell ref="G13:G14"/>
    <mergeCell ref="U13:U14"/>
    <mergeCell ref="V13:V14"/>
    <mergeCell ref="M13:M14"/>
    <mergeCell ref="N13:N14"/>
    <mergeCell ref="O13:O14"/>
    <mergeCell ref="P13:P14"/>
    <mergeCell ref="Q13:Q14"/>
    <mergeCell ref="A1:AI1"/>
    <mergeCell ref="A2:AI2"/>
    <mergeCell ref="A23:S23"/>
    <mergeCell ref="A24:S24"/>
    <mergeCell ref="D26:E26"/>
    <mergeCell ref="F26:G26"/>
    <mergeCell ref="N26:O26"/>
    <mergeCell ref="P26:Q26"/>
    <mergeCell ref="R26:S26"/>
    <mergeCell ref="L26:M26"/>
    <mergeCell ref="AI13:AI14"/>
    <mergeCell ref="D4:E4"/>
    <mergeCell ref="F4:G4"/>
    <mergeCell ref="H4:I4"/>
    <mergeCell ref="J4:K4"/>
    <mergeCell ref="H13:H14"/>
  </mergeCells>
  <printOptions horizontalCentered="1"/>
  <pageMargins left="0.5" right="0.5" top="0.5" bottom="0.5" header="0.3" footer="0.3"/>
  <pageSetup scale="40" orientation="landscape" r:id="rId1"/>
  <headerFooter scaleWithDoc="0">
    <oddFooter>&amp;L&amp;"Arial,Regular"&amp;9Hilcorp Alaska, LLC
Grayling Platform
Title V Renewal Application&amp;C&amp;"Arial,Regular"&amp;9Page D-&amp;P&amp;R&amp;"Arial,Regular"&amp;9December 2022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2AC4D-48B9-45A7-9024-760BB07DFAA1}">
  <dimension ref="A1:AF54"/>
  <sheetViews>
    <sheetView view="pageBreakPreview" zoomScaleNormal="100" zoomScaleSheetLayoutView="100" workbookViewId="0">
      <selection activeCell="F19" sqref="F19"/>
    </sheetView>
  </sheetViews>
  <sheetFormatPr defaultColWidth="9.140625" defaultRowHeight="12.75" x14ac:dyDescent="0.25"/>
  <cols>
    <col min="1" max="1" width="9.28515625" style="31" customWidth="1"/>
    <col min="2" max="2" width="29.42578125" style="168" customWidth="1"/>
    <col min="3" max="3" width="9.5703125" style="150" customWidth="1"/>
    <col min="4" max="4" width="10.42578125" style="150" customWidth="1"/>
    <col min="5" max="5" width="7.7109375" style="150" customWidth="1"/>
    <col min="6" max="6" width="8.140625" style="150" customWidth="1"/>
    <col min="7" max="7" width="7.7109375" style="150" customWidth="1"/>
    <col min="8" max="8" width="6.5703125" style="150" customWidth="1"/>
    <col min="9" max="9" width="7.7109375" style="150" customWidth="1"/>
    <col min="10" max="10" width="8.28515625" style="150" customWidth="1"/>
    <col min="11" max="11" width="7.7109375" style="150" customWidth="1"/>
    <col min="12" max="12" width="4.140625" style="150" customWidth="1"/>
    <col min="13" max="13" width="7.7109375" style="150" customWidth="1"/>
    <col min="14" max="14" width="4.140625" style="150" customWidth="1"/>
    <col min="15" max="15" width="7.7109375" style="150" customWidth="1"/>
    <col min="16" max="16" width="4.140625" style="150" customWidth="1"/>
    <col min="17" max="17" width="7.7109375" style="150" customWidth="1"/>
    <col min="18" max="18" width="4.140625" style="150" customWidth="1"/>
    <col min="19" max="19" width="7.7109375" style="150" customWidth="1"/>
    <col min="20" max="20" width="4.140625" style="150" customWidth="1"/>
    <col min="21" max="21" width="3.7109375" style="150" customWidth="1"/>
    <col min="22" max="22" width="4.140625" style="150" customWidth="1"/>
    <col min="23" max="23" width="7.7109375" style="150" customWidth="1"/>
    <col min="24" max="24" width="4.140625" style="150" customWidth="1"/>
    <col min="25" max="25" width="7.7109375" style="150" customWidth="1"/>
    <col min="26" max="26" width="4.140625" style="150" customWidth="1"/>
    <col min="27" max="27" width="7.7109375" style="150" customWidth="1"/>
    <col min="28" max="28" width="4.140625" style="150" customWidth="1"/>
    <col min="29" max="29" width="7.7109375" style="150" customWidth="1"/>
    <col min="30" max="30" width="4.140625" style="150" customWidth="1"/>
    <col min="31" max="31" width="7.7109375" style="150" customWidth="1"/>
    <col min="32" max="32" width="4.140625" style="150" customWidth="1"/>
    <col min="33" max="16384" width="9.140625" style="150"/>
  </cols>
  <sheetData>
    <row r="1" spans="1:32" ht="17.100000000000001" customHeight="1" x14ac:dyDescent="0.25">
      <c r="A1" s="473" t="s">
        <v>197</v>
      </c>
      <c r="B1" s="473"/>
      <c r="C1" s="473"/>
      <c r="D1" s="473"/>
      <c r="E1" s="473"/>
      <c r="F1" s="473"/>
      <c r="G1" s="473"/>
      <c r="H1" s="473"/>
      <c r="I1" s="473"/>
      <c r="J1" s="473"/>
      <c r="K1" s="473"/>
      <c r="L1" s="473"/>
      <c r="M1" s="473"/>
      <c r="N1" s="473"/>
      <c r="O1" s="473"/>
      <c r="P1" s="473"/>
      <c r="Q1" s="473"/>
      <c r="R1" s="473"/>
      <c r="S1" s="473"/>
      <c r="T1" s="473"/>
      <c r="U1" s="473"/>
      <c r="V1" s="473"/>
      <c r="W1" s="473"/>
      <c r="X1" s="473"/>
      <c r="Y1" s="473"/>
      <c r="Z1" s="473"/>
      <c r="AA1" s="473"/>
      <c r="AB1" s="473"/>
      <c r="AC1" s="473"/>
      <c r="AD1" s="473"/>
      <c r="AE1" s="473"/>
      <c r="AF1" s="473"/>
    </row>
    <row r="2" spans="1:32" ht="17.100000000000001" customHeight="1" x14ac:dyDescent="0.25">
      <c r="A2" s="473" t="str">
        <f>Inventory!A2</f>
        <v>Hilcorp Alaska, LLC - Grayling Platform</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row>
    <row r="3" spans="1:32" ht="17.100000000000001" customHeight="1" thickBot="1" x14ac:dyDescent="0.3">
      <c r="A3" s="53"/>
      <c r="B3" s="54"/>
      <c r="C3" s="38"/>
      <c r="D3" s="38"/>
      <c r="E3" s="38"/>
      <c r="F3" s="38"/>
      <c r="G3" s="38"/>
      <c r="H3" s="38"/>
      <c r="I3" s="38"/>
      <c r="J3" s="38"/>
      <c r="K3" s="38"/>
      <c r="L3" s="38"/>
      <c r="M3" s="38"/>
      <c r="N3" s="38"/>
    </row>
    <row r="4" spans="1:32" ht="17.100000000000001" customHeight="1" x14ac:dyDescent="0.25">
      <c r="A4" s="479" t="s">
        <v>45</v>
      </c>
      <c r="B4" s="477" t="s">
        <v>28</v>
      </c>
      <c r="C4" s="477" t="s">
        <v>174</v>
      </c>
      <c r="D4" s="522"/>
      <c r="E4" s="615" t="s">
        <v>233</v>
      </c>
      <c r="F4" s="616"/>
      <c r="G4" s="616"/>
      <c r="H4" s="616"/>
      <c r="I4" s="616"/>
      <c r="J4" s="616"/>
      <c r="K4" s="616"/>
      <c r="L4" s="616"/>
      <c r="M4" s="616"/>
      <c r="N4" s="617"/>
      <c r="O4" s="479" t="s">
        <v>177</v>
      </c>
      <c r="P4" s="477"/>
      <c r="Q4" s="477"/>
      <c r="R4" s="477"/>
      <c r="S4" s="477"/>
      <c r="T4" s="477"/>
      <c r="U4" s="477"/>
      <c r="V4" s="477"/>
      <c r="W4" s="477"/>
      <c r="X4" s="477"/>
      <c r="Y4" s="477"/>
      <c r="Z4" s="477"/>
      <c r="AA4" s="477"/>
      <c r="AB4" s="477"/>
      <c r="AC4" s="477"/>
      <c r="AD4" s="477"/>
      <c r="AE4" s="477"/>
      <c r="AF4" s="481"/>
    </row>
    <row r="5" spans="1:32" s="53" customFormat="1" ht="17.100000000000001" customHeight="1" thickBot="1" x14ac:dyDescent="0.3">
      <c r="A5" s="480"/>
      <c r="B5" s="478"/>
      <c r="C5" s="478"/>
      <c r="D5" s="621"/>
      <c r="E5" s="480" t="s">
        <v>123</v>
      </c>
      <c r="F5" s="478"/>
      <c r="G5" s="478" t="s">
        <v>124</v>
      </c>
      <c r="H5" s="478"/>
      <c r="I5" s="478" t="s">
        <v>125</v>
      </c>
      <c r="J5" s="478"/>
      <c r="K5" s="478" t="s">
        <v>127</v>
      </c>
      <c r="L5" s="478"/>
      <c r="M5" s="478" t="s">
        <v>128</v>
      </c>
      <c r="N5" s="516"/>
      <c r="O5" s="480" t="s">
        <v>46</v>
      </c>
      <c r="P5" s="478"/>
      <c r="Q5" s="478" t="s">
        <v>47</v>
      </c>
      <c r="R5" s="478"/>
      <c r="S5" s="478" t="s">
        <v>122</v>
      </c>
      <c r="T5" s="478"/>
      <c r="U5" s="478" t="s">
        <v>124</v>
      </c>
      <c r="V5" s="478"/>
      <c r="W5" s="478" t="s">
        <v>126</v>
      </c>
      <c r="X5" s="478"/>
      <c r="Y5" s="478" t="s">
        <v>127</v>
      </c>
      <c r="Z5" s="478"/>
      <c r="AA5" s="478" t="s">
        <v>129</v>
      </c>
      <c r="AB5" s="478"/>
      <c r="AC5" s="478" t="s">
        <v>130</v>
      </c>
      <c r="AD5" s="478"/>
      <c r="AE5" s="478" t="s">
        <v>128</v>
      </c>
      <c r="AF5" s="516"/>
    </row>
    <row r="6" spans="1:32" ht="17.100000000000001" customHeight="1" thickTop="1" x14ac:dyDescent="0.25">
      <c r="A6" s="156">
        <v>75070</v>
      </c>
      <c r="B6" s="157" t="s">
        <v>29</v>
      </c>
      <c r="C6" s="268">
        <v>4.0000000000000003E-5</v>
      </c>
      <c r="D6" s="29" t="s">
        <v>20</v>
      </c>
      <c r="E6" s="256">
        <f>$C6*$E$22/2000</f>
        <v>7.064064000000001E-3</v>
      </c>
      <c r="F6" s="269" t="s">
        <v>24</v>
      </c>
      <c r="G6" s="159">
        <f t="shared" ref="G6:G16" si="0">$C6*$E$25/2000</f>
        <v>2.1465153600000002E-3</v>
      </c>
      <c r="H6" s="269" t="s">
        <v>24</v>
      </c>
      <c r="I6" s="159">
        <f>$C6*$E$26/2000</f>
        <v>2.2596595199999999E-3</v>
      </c>
      <c r="J6" s="269" t="s">
        <v>24</v>
      </c>
      <c r="K6" s="159">
        <f t="shared" ref="K6:K16" si="1">$C6*$E$27/2000</f>
        <v>2.1184308E-3</v>
      </c>
      <c r="L6" s="269" t="s">
        <v>24</v>
      </c>
      <c r="M6" s="159">
        <f t="shared" ref="M6:M16" si="2">$C6*$E$30/2000</f>
        <v>1.377716322528E-2</v>
      </c>
      <c r="N6" s="270" t="s">
        <v>24</v>
      </c>
      <c r="O6" s="256">
        <f t="shared" ref="O6:O16" si="3">$C6*$I$22/2000</f>
        <v>2.4071040000000002E-3</v>
      </c>
      <c r="P6" s="269" t="s">
        <v>24</v>
      </c>
      <c r="Q6" s="159">
        <f t="shared" ref="Q6:Q16" si="4">$C6*$I$23/2000</f>
        <v>1.9103616000000002E-3</v>
      </c>
      <c r="R6" s="269" t="s">
        <v>24</v>
      </c>
      <c r="S6" s="159">
        <f t="shared" ref="S6:S16" si="5">$C6*$I$24/2000</f>
        <v>6.9043968000000004E-3</v>
      </c>
      <c r="T6" s="249" t="s">
        <v>24</v>
      </c>
      <c r="U6" s="271">
        <f t="shared" ref="U6:U16" si="6">$C6*$I$25/2000</f>
        <v>0</v>
      </c>
      <c r="V6" s="249" t="s">
        <v>24</v>
      </c>
      <c r="W6" s="159">
        <f t="shared" ref="W6:W16" si="7">$C6*$I$26/2000</f>
        <v>4.1246524800000003E-4</v>
      </c>
      <c r="X6" s="269" t="s">
        <v>24</v>
      </c>
      <c r="Y6" s="159">
        <f t="shared" ref="Y6:Y16" si="8">$C6*$I$27/2000</f>
        <v>4.5173844000000001E-4</v>
      </c>
      <c r="Z6" s="269" t="s">
        <v>24</v>
      </c>
      <c r="AA6" s="159">
        <f t="shared" ref="AA6:AA16" si="9">$C6*$I$28/2000</f>
        <v>3.5700556799999998E-4</v>
      </c>
      <c r="AB6" s="269" t="s">
        <v>24</v>
      </c>
      <c r="AC6" s="159">
        <f t="shared" ref="AC6:AC16" si="10">$C6*$I$29/2000</f>
        <v>3.5597375999999999E-4</v>
      </c>
      <c r="AD6" s="269" t="s">
        <v>24</v>
      </c>
      <c r="AE6" s="159">
        <f t="shared" ref="AE6:AE16" si="11">$C6*$I$30/2000</f>
        <v>1.1570615279495999E-2</v>
      </c>
      <c r="AF6" s="251" t="s">
        <v>24</v>
      </c>
    </row>
    <row r="7" spans="1:32" ht="17.100000000000001" customHeight="1" x14ac:dyDescent="0.25">
      <c r="A7" s="160">
        <v>107028</v>
      </c>
      <c r="B7" s="161" t="s">
        <v>30</v>
      </c>
      <c r="C7" s="105">
        <v>6.3999999999999997E-6</v>
      </c>
      <c r="D7" s="28" t="s">
        <v>20</v>
      </c>
      <c r="E7" s="256">
        <f t="shared" ref="E7:E16" si="12">C7*$E$22/2000</f>
        <v>1.1302502400000001E-3</v>
      </c>
      <c r="F7" s="272" t="s">
        <v>24</v>
      </c>
      <c r="G7" s="159">
        <f t="shared" si="0"/>
        <v>3.4344245759999995E-4</v>
      </c>
      <c r="H7" s="272" t="s">
        <v>24</v>
      </c>
      <c r="I7" s="159">
        <f t="shared" ref="I7:I16" si="13">$C7*$E$26/2000</f>
        <v>3.6154552319999993E-4</v>
      </c>
      <c r="J7" s="272" t="s">
        <v>24</v>
      </c>
      <c r="K7" s="159">
        <f t="shared" si="1"/>
        <v>3.3894892799999997E-4</v>
      </c>
      <c r="L7" s="272" t="s">
        <v>24</v>
      </c>
      <c r="M7" s="159">
        <f t="shared" si="2"/>
        <v>2.2043461160447999E-3</v>
      </c>
      <c r="N7" s="273" t="s">
        <v>24</v>
      </c>
      <c r="O7" s="256">
        <f t="shared" si="3"/>
        <v>3.8513664E-4</v>
      </c>
      <c r="P7" s="272" t="s">
        <v>24</v>
      </c>
      <c r="Q7" s="159">
        <f t="shared" si="4"/>
        <v>3.0565785600000003E-4</v>
      </c>
      <c r="R7" s="272" t="s">
        <v>24</v>
      </c>
      <c r="S7" s="159">
        <f t="shared" si="5"/>
        <v>1.1047034879999998E-3</v>
      </c>
      <c r="T7" s="242" t="s">
        <v>24</v>
      </c>
      <c r="U7" s="271">
        <f t="shared" si="6"/>
        <v>0</v>
      </c>
      <c r="V7" s="242" t="s">
        <v>24</v>
      </c>
      <c r="W7" s="159">
        <f t="shared" si="7"/>
        <v>6.5994439680000001E-5</v>
      </c>
      <c r="X7" s="272" t="s">
        <v>24</v>
      </c>
      <c r="Y7" s="159">
        <f t="shared" si="8"/>
        <v>7.2278150399999991E-5</v>
      </c>
      <c r="Z7" s="272" t="s">
        <v>24</v>
      </c>
      <c r="AA7" s="159">
        <f t="shared" si="9"/>
        <v>5.7120890879999995E-5</v>
      </c>
      <c r="AB7" s="272" t="s">
        <v>24</v>
      </c>
      <c r="AC7" s="159">
        <f t="shared" si="10"/>
        <v>5.6955801599999993E-5</v>
      </c>
      <c r="AD7" s="272" t="s">
        <v>24</v>
      </c>
      <c r="AE7" s="159">
        <f t="shared" si="11"/>
        <v>1.8512984447193596E-3</v>
      </c>
      <c r="AF7" s="240" t="s">
        <v>24</v>
      </c>
    </row>
    <row r="8" spans="1:32" ht="17.100000000000001" customHeight="1" x14ac:dyDescent="0.25">
      <c r="A8" s="123">
        <v>71432</v>
      </c>
      <c r="B8" s="163" t="s">
        <v>26</v>
      </c>
      <c r="C8" s="238">
        <v>1.2E-5</v>
      </c>
      <c r="D8" s="150" t="s">
        <v>20</v>
      </c>
      <c r="E8" s="256">
        <f t="shared" si="12"/>
        <v>2.1192192000000004E-3</v>
      </c>
      <c r="F8" s="274" t="s">
        <v>24</v>
      </c>
      <c r="G8" s="159">
        <f t="shared" si="0"/>
        <v>6.4395460800000003E-4</v>
      </c>
      <c r="H8" s="274" t="s">
        <v>24</v>
      </c>
      <c r="I8" s="159">
        <f t="shared" si="13"/>
        <v>6.7789785599999995E-4</v>
      </c>
      <c r="J8" s="274" t="s">
        <v>24</v>
      </c>
      <c r="K8" s="159">
        <f t="shared" si="1"/>
        <v>6.3552924000000004E-4</v>
      </c>
      <c r="L8" s="274" t="s">
        <v>24</v>
      </c>
      <c r="M8" s="159">
        <f t="shared" si="2"/>
        <v>4.1331489675839987E-3</v>
      </c>
      <c r="N8" s="275" t="s">
        <v>24</v>
      </c>
      <c r="O8" s="256">
        <f t="shared" si="3"/>
        <v>7.2213119999999995E-4</v>
      </c>
      <c r="P8" s="274" t="s">
        <v>24</v>
      </c>
      <c r="Q8" s="159">
        <f t="shared" si="4"/>
        <v>5.7310848000000005E-4</v>
      </c>
      <c r="R8" s="274" t="s">
        <v>24</v>
      </c>
      <c r="S8" s="159">
        <f t="shared" si="5"/>
        <v>2.0713190400000001E-3</v>
      </c>
      <c r="T8" s="9" t="s">
        <v>24</v>
      </c>
      <c r="U8" s="271">
        <f t="shared" si="6"/>
        <v>0</v>
      </c>
      <c r="V8" s="9" t="s">
        <v>24</v>
      </c>
      <c r="W8" s="159">
        <f t="shared" si="7"/>
        <v>1.2373957439999999E-4</v>
      </c>
      <c r="X8" s="274" t="s">
        <v>24</v>
      </c>
      <c r="Y8" s="159">
        <f t="shared" si="8"/>
        <v>1.3552153200000001E-4</v>
      </c>
      <c r="Z8" s="274" t="s">
        <v>24</v>
      </c>
      <c r="AA8" s="159">
        <f t="shared" si="9"/>
        <v>1.071016704E-4</v>
      </c>
      <c r="AB8" s="274" t="s">
        <v>24</v>
      </c>
      <c r="AC8" s="159">
        <f t="shared" si="10"/>
        <v>1.0679212799999998E-4</v>
      </c>
      <c r="AD8" s="274" t="s">
        <v>24</v>
      </c>
      <c r="AE8" s="159">
        <f t="shared" si="11"/>
        <v>3.4711845838487996E-3</v>
      </c>
      <c r="AF8" s="26" t="s">
        <v>24</v>
      </c>
    </row>
    <row r="9" spans="1:32" ht="17.100000000000001" customHeight="1" x14ac:dyDescent="0.25">
      <c r="A9" s="160">
        <v>106990</v>
      </c>
      <c r="B9" s="163" t="s">
        <v>31</v>
      </c>
      <c r="C9" s="162">
        <v>4.3000000000000001E-7</v>
      </c>
      <c r="D9" s="28" t="s">
        <v>20</v>
      </c>
      <c r="E9" s="256">
        <f t="shared" si="12"/>
        <v>7.5938688000000006E-5</v>
      </c>
      <c r="F9" s="274" t="s">
        <v>24</v>
      </c>
      <c r="G9" s="159">
        <f t="shared" si="0"/>
        <v>2.3075040120000003E-5</v>
      </c>
      <c r="H9" s="272" t="s">
        <v>24</v>
      </c>
      <c r="I9" s="159">
        <f t="shared" si="13"/>
        <v>2.4291339839999998E-5</v>
      </c>
      <c r="J9" s="274" t="s">
        <v>24</v>
      </c>
      <c r="K9" s="159">
        <f t="shared" si="1"/>
        <v>2.27731311E-5</v>
      </c>
      <c r="L9" s="274" t="s">
        <v>24</v>
      </c>
      <c r="M9" s="159">
        <f t="shared" si="2"/>
        <v>1.4810450467175998E-4</v>
      </c>
      <c r="N9" s="275" t="s">
        <v>24</v>
      </c>
      <c r="O9" s="256">
        <f t="shared" si="3"/>
        <v>2.5876368000000001E-5</v>
      </c>
      <c r="P9" s="274" t="s">
        <v>24</v>
      </c>
      <c r="Q9" s="159">
        <f t="shared" si="4"/>
        <v>2.0536387200000003E-5</v>
      </c>
      <c r="R9" s="274" t="s">
        <v>24</v>
      </c>
      <c r="S9" s="159">
        <f t="shared" si="5"/>
        <v>7.422226560000001E-5</v>
      </c>
      <c r="T9" s="9" t="s">
        <v>24</v>
      </c>
      <c r="U9" s="271">
        <f t="shared" si="6"/>
        <v>0</v>
      </c>
      <c r="V9" s="9" t="s">
        <v>24</v>
      </c>
      <c r="W9" s="159">
        <f t="shared" si="7"/>
        <v>4.4340014160000003E-6</v>
      </c>
      <c r="X9" s="274" t="s">
        <v>24</v>
      </c>
      <c r="Y9" s="159">
        <f t="shared" si="8"/>
        <v>4.8561882300000001E-6</v>
      </c>
      <c r="Z9" s="274" t="s">
        <v>24</v>
      </c>
      <c r="AA9" s="159">
        <f t="shared" si="9"/>
        <v>3.8378098560000001E-6</v>
      </c>
      <c r="AB9" s="274" t="s">
        <v>24</v>
      </c>
      <c r="AC9" s="159">
        <f t="shared" si="10"/>
        <v>3.8267179199999999E-6</v>
      </c>
      <c r="AD9" s="274" t="s">
        <v>24</v>
      </c>
      <c r="AE9" s="159">
        <f t="shared" si="11"/>
        <v>1.2438411425458199E-4</v>
      </c>
      <c r="AF9" s="26" t="s">
        <v>24</v>
      </c>
    </row>
    <row r="10" spans="1:32" ht="17.100000000000001" customHeight="1" x14ac:dyDescent="0.25">
      <c r="A10" s="160">
        <v>100414</v>
      </c>
      <c r="B10" s="161" t="s">
        <v>32</v>
      </c>
      <c r="C10" s="105">
        <v>3.1999999999999999E-5</v>
      </c>
      <c r="D10" s="28" t="s">
        <v>20</v>
      </c>
      <c r="E10" s="256">
        <f t="shared" si="12"/>
        <v>5.6512511999999996E-3</v>
      </c>
      <c r="F10" s="272" t="s">
        <v>24</v>
      </c>
      <c r="G10" s="159">
        <f t="shared" si="0"/>
        <v>1.7172122879999998E-3</v>
      </c>
      <c r="H10" s="272" t="s">
        <v>24</v>
      </c>
      <c r="I10" s="159">
        <f t="shared" si="13"/>
        <v>1.8077276159999998E-3</v>
      </c>
      <c r="J10" s="272" t="s">
        <v>24</v>
      </c>
      <c r="K10" s="159">
        <f t="shared" si="1"/>
        <v>1.6947446399999998E-3</v>
      </c>
      <c r="L10" s="272" t="s">
        <v>24</v>
      </c>
      <c r="M10" s="159">
        <f t="shared" si="2"/>
        <v>1.1021730580223998E-2</v>
      </c>
      <c r="N10" s="273" t="s">
        <v>24</v>
      </c>
      <c r="O10" s="256">
        <f t="shared" si="3"/>
        <v>1.9256831999999999E-3</v>
      </c>
      <c r="P10" s="272" t="s">
        <v>24</v>
      </c>
      <c r="Q10" s="159">
        <f t="shared" si="4"/>
        <v>1.5282892799999999E-3</v>
      </c>
      <c r="R10" s="272" t="s">
        <v>24</v>
      </c>
      <c r="S10" s="159">
        <f t="shared" si="5"/>
        <v>5.5235174400000003E-3</v>
      </c>
      <c r="T10" s="242" t="s">
        <v>24</v>
      </c>
      <c r="U10" s="271">
        <f t="shared" si="6"/>
        <v>0</v>
      </c>
      <c r="V10" s="242" t="s">
        <v>24</v>
      </c>
      <c r="W10" s="159">
        <f t="shared" si="7"/>
        <v>3.2997219839999998E-4</v>
      </c>
      <c r="X10" s="272" t="s">
        <v>24</v>
      </c>
      <c r="Y10" s="159">
        <f t="shared" si="8"/>
        <v>3.6139075199999998E-4</v>
      </c>
      <c r="Z10" s="272" t="s">
        <v>24</v>
      </c>
      <c r="AA10" s="159">
        <f t="shared" si="9"/>
        <v>2.8560445440000001E-4</v>
      </c>
      <c r="AB10" s="272" t="s">
        <v>24</v>
      </c>
      <c r="AC10" s="159">
        <f t="shared" si="10"/>
        <v>2.8477900799999995E-4</v>
      </c>
      <c r="AD10" s="272" t="s">
        <v>24</v>
      </c>
      <c r="AE10" s="159">
        <f t="shared" si="11"/>
        <v>9.2564922235967972E-3</v>
      </c>
      <c r="AF10" s="240" t="s">
        <v>24</v>
      </c>
    </row>
    <row r="11" spans="1:32" ht="17.100000000000001" customHeight="1" x14ac:dyDescent="0.25">
      <c r="A11" s="160">
        <v>5000</v>
      </c>
      <c r="B11" s="161" t="s">
        <v>33</v>
      </c>
      <c r="C11" s="238">
        <v>7.1000000000000002E-4</v>
      </c>
      <c r="D11" s="150" t="s">
        <v>20</v>
      </c>
      <c r="E11" s="256">
        <f t="shared" si="12"/>
        <v>0.12538713600000001</v>
      </c>
      <c r="F11" s="274" t="s">
        <v>24</v>
      </c>
      <c r="G11" s="159">
        <f t="shared" si="0"/>
        <v>3.8100647639999999E-2</v>
      </c>
      <c r="H11" s="274" t="s">
        <v>24</v>
      </c>
      <c r="I11" s="159">
        <f t="shared" si="13"/>
        <v>4.0108956479999999E-2</v>
      </c>
      <c r="J11" s="274" t="s">
        <v>24</v>
      </c>
      <c r="K11" s="159">
        <f t="shared" si="1"/>
        <v>3.7602146699999998E-2</v>
      </c>
      <c r="L11" s="274" t="s">
        <v>24</v>
      </c>
      <c r="M11" s="159">
        <f t="shared" si="2"/>
        <v>0.24454464724871997</v>
      </c>
      <c r="N11" s="275" t="s">
        <v>24</v>
      </c>
      <c r="O11" s="256">
        <f t="shared" si="3"/>
        <v>4.2726095999999998E-2</v>
      </c>
      <c r="P11" s="274" t="s">
        <v>24</v>
      </c>
      <c r="Q11" s="159">
        <f t="shared" si="4"/>
        <v>3.3908918400000002E-2</v>
      </c>
      <c r="R11" s="274" t="s">
        <v>24</v>
      </c>
      <c r="S11" s="159">
        <f t="shared" si="5"/>
        <v>0.12255304320000002</v>
      </c>
      <c r="T11" s="9" t="s">
        <v>24</v>
      </c>
      <c r="U11" s="271">
        <f t="shared" si="6"/>
        <v>0</v>
      </c>
      <c r="V11" s="9" t="s">
        <v>24</v>
      </c>
      <c r="W11" s="159">
        <f t="shared" si="7"/>
        <v>7.321258152E-3</v>
      </c>
      <c r="X11" s="274" t="s">
        <v>24</v>
      </c>
      <c r="Y11" s="159">
        <f t="shared" si="8"/>
        <v>8.0183573099999982E-3</v>
      </c>
      <c r="Z11" s="274" t="s">
        <v>24</v>
      </c>
      <c r="AA11" s="159">
        <f t="shared" si="9"/>
        <v>6.3368488320000001E-3</v>
      </c>
      <c r="AB11" s="274" t="s">
        <v>24</v>
      </c>
      <c r="AC11" s="159">
        <f t="shared" si="10"/>
        <v>6.3185342399999997E-3</v>
      </c>
      <c r="AD11" s="274" t="s">
        <v>24</v>
      </c>
      <c r="AE11" s="159">
        <f t="shared" si="11"/>
        <v>0.20537842121105396</v>
      </c>
      <c r="AF11" s="26" t="s">
        <v>24</v>
      </c>
    </row>
    <row r="12" spans="1:32" ht="17.100000000000001" customHeight="1" x14ac:dyDescent="0.25">
      <c r="A12" s="160" t="s">
        <v>7</v>
      </c>
      <c r="B12" s="163" t="s">
        <v>34</v>
      </c>
      <c r="C12" s="105">
        <v>2.2000000000000001E-6</v>
      </c>
      <c r="D12" s="28" t="s">
        <v>20</v>
      </c>
      <c r="E12" s="256">
        <f t="shared" si="12"/>
        <v>3.8852352000000003E-4</v>
      </c>
      <c r="F12" s="272" t="s">
        <v>24</v>
      </c>
      <c r="G12" s="159">
        <f t="shared" si="0"/>
        <v>1.1805834480000001E-4</v>
      </c>
      <c r="H12" s="272" t="s">
        <v>24</v>
      </c>
      <c r="I12" s="159">
        <f t="shared" si="13"/>
        <v>1.2428127360000001E-4</v>
      </c>
      <c r="J12" s="272" t="s">
        <v>24</v>
      </c>
      <c r="K12" s="159">
        <f t="shared" si="1"/>
        <v>1.1651369400000001E-4</v>
      </c>
      <c r="L12" s="272" t="s">
        <v>24</v>
      </c>
      <c r="M12" s="159">
        <f t="shared" si="2"/>
        <v>7.5774397739039991E-4</v>
      </c>
      <c r="N12" s="273" t="s">
        <v>24</v>
      </c>
      <c r="O12" s="256">
        <f t="shared" si="3"/>
        <v>1.3239072000000002E-4</v>
      </c>
      <c r="P12" s="272" t="s">
        <v>24</v>
      </c>
      <c r="Q12" s="159">
        <f t="shared" si="4"/>
        <v>1.0506988800000001E-4</v>
      </c>
      <c r="R12" s="272" t="s">
        <v>24</v>
      </c>
      <c r="S12" s="159">
        <f t="shared" si="5"/>
        <v>3.7974182400000008E-4</v>
      </c>
      <c r="T12" s="242" t="s">
        <v>24</v>
      </c>
      <c r="U12" s="271">
        <f t="shared" si="6"/>
        <v>0</v>
      </c>
      <c r="V12" s="242" t="s">
        <v>24</v>
      </c>
      <c r="W12" s="159">
        <f t="shared" si="7"/>
        <v>2.2685588640000001E-5</v>
      </c>
      <c r="X12" s="272" t="s">
        <v>24</v>
      </c>
      <c r="Y12" s="159">
        <f t="shared" si="8"/>
        <v>2.48456142E-5</v>
      </c>
      <c r="Z12" s="272" t="s">
        <v>24</v>
      </c>
      <c r="AA12" s="159">
        <f t="shared" si="9"/>
        <v>1.963530624E-5</v>
      </c>
      <c r="AB12" s="272" t="s">
        <v>24</v>
      </c>
      <c r="AC12" s="159">
        <f t="shared" si="10"/>
        <v>1.9578556800000002E-5</v>
      </c>
      <c r="AD12" s="272" t="s">
        <v>24</v>
      </c>
      <c r="AE12" s="159">
        <f t="shared" si="11"/>
        <v>6.3638384037227992E-4</v>
      </c>
      <c r="AF12" s="240" t="s">
        <v>24</v>
      </c>
    </row>
    <row r="13" spans="1:32" ht="17.100000000000001" customHeight="1" x14ac:dyDescent="0.25">
      <c r="A13" s="160">
        <v>91203</v>
      </c>
      <c r="B13" s="163" t="s">
        <v>36</v>
      </c>
      <c r="C13" s="105">
        <v>1.3E-6</v>
      </c>
      <c r="D13" s="28" t="s">
        <v>20</v>
      </c>
      <c r="E13" s="256">
        <f t="shared" si="12"/>
        <v>2.2958208000000002E-4</v>
      </c>
      <c r="F13" s="274" t="s">
        <v>24</v>
      </c>
      <c r="G13" s="159">
        <f t="shared" si="0"/>
        <v>6.9761749199999997E-5</v>
      </c>
      <c r="H13" s="274" t="s">
        <v>24</v>
      </c>
      <c r="I13" s="159">
        <f t="shared" si="13"/>
        <v>7.3438934399999999E-5</v>
      </c>
      <c r="J13" s="274" t="s">
        <v>24</v>
      </c>
      <c r="K13" s="159">
        <f t="shared" si="1"/>
        <v>6.8849000999999987E-5</v>
      </c>
      <c r="L13" s="274" t="s">
        <v>24</v>
      </c>
      <c r="M13" s="159">
        <f t="shared" si="2"/>
        <v>4.4775780482159995E-4</v>
      </c>
      <c r="N13" s="275" t="s">
        <v>24</v>
      </c>
      <c r="O13" s="256">
        <f t="shared" si="3"/>
        <v>7.8230880000000009E-5</v>
      </c>
      <c r="P13" s="274" t="s">
        <v>24</v>
      </c>
      <c r="Q13" s="159">
        <f t="shared" si="4"/>
        <v>6.2086752000000005E-5</v>
      </c>
      <c r="R13" s="274" t="s">
        <v>24</v>
      </c>
      <c r="S13" s="159">
        <f t="shared" si="5"/>
        <v>2.2439289600000004E-4</v>
      </c>
      <c r="T13" s="9" t="s">
        <v>24</v>
      </c>
      <c r="U13" s="271">
        <f t="shared" si="6"/>
        <v>0</v>
      </c>
      <c r="V13" s="9" t="s">
        <v>24</v>
      </c>
      <c r="W13" s="159">
        <f t="shared" si="7"/>
        <v>1.3405120560000002E-5</v>
      </c>
      <c r="X13" s="274" t="s">
        <v>24</v>
      </c>
      <c r="Y13" s="159">
        <f t="shared" si="8"/>
        <v>1.4681499299999999E-5</v>
      </c>
      <c r="Z13" s="274" t="s">
        <v>24</v>
      </c>
      <c r="AA13" s="159">
        <f t="shared" si="9"/>
        <v>1.160268096E-5</v>
      </c>
      <c r="AB13" s="274" t="s">
        <v>24</v>
      </c>
      <c r="AC13" s="159">
        <f t="shared" si="10"/>
        <v>1.1569147199999999E-5</v>
      </c>
      <c r="AD13" s="274" t="s">
        <v>24</v>
      </c>
      <c r="AE13" s="159">
        <f t="shared" si="11"/>
        <v>3.7604499658361996E-4</v>
      </c>
      <c r="AF13" s="26" t="s">
        <v>24</v>
      </c>
    </row>
    <row r="14" spans="1:32" ht="17.100000000000001" customHeight="1" x14ac:dyDescent="0.25">
      <c r="A14" s="160">
        <v>75569</v>
      </c>
      <c r="B14" s="163" t="s">
        <v>173</v>
      </c>
      <c r="C14" s="105">
        <v>2.9E-5</v>
      </c>
      <c r="D14" s="28" t="s">
        <v>20</v>
      </c>
      <c r="E14" s="256">
        <f t="shared" si="12"/>
        <v>5.1214464000000001E-3</v>
      </c>
      <c r="F14" s="274" t="s">
        <v>24</v>
      </c>
      <c r="G14" s="159">
        <f t="shared" si="0"/>
        <v>1.5562236359999999E-3</v>
      </c>
      <c r="H14" s="272" t="s">
        <v>24</v>
      </c>
      <c r="I14" s="159">
        <f t="shared" si="13"/>
        <v>1.6382531519999999E-3</v>
      </c>
      <c r="J14" s="274" t="s">
        <v>24</v>
      </c>
      <c r="K14" s="159">
        <f t="shared" si="1"/>
        <v>1.5358623299999998E-3</v>
      </c>
      <c r="L14" s="274" t="s">
        <v>24</v>
      </c>
      <c r="M14" s="159">
        <f t="shared" si="2"/>
        <v>9.9884433383279989E-3</v>
      </c>
      <c r="N14" s="275" t="s">
        <v>24</v>
      </c>
      <c r="O14" s="256">
        <f t="shared" si="3"/>
        <v>1.7451503999999999E-3</v>
      </c>
      <c r="P14" s="274" t="s">
        <v>24</v>
      </c>
      <c r="Q14" s="159">
        <f t="shared" si="4"/>
        <v>1.3850121600000001E-3</v>
      </c>
      <c r="R14" s="274" t="s">
        <v>24</v>
      </c>
      <c r="S14" s="159">
        <f t="shared" si="5"/>
        <v>5.0056876800000007E-3</v>
      </c>
      <c r="T14" s="9" t="s">
        <v>24</v>
      </c>
      <c r="U14" s="271">
        <f t="shared" si="6"/>
        <v>0</v>
      </c>
      <c r="V14" s="9" t="s">
        <v>24</v>
      </c>
      <c r="W14" s="159">
        <f t="shared" si="7"/>
        <v>2.9903730480000001E-4</v>
      </c>
      <c r="X14" s="274" t="s">
        <v>24</v>
      </c>
      <c r="Y14" s="159">
        <f t="shared" si="8"/>
        <v>3.2751036899999998E-4</v>
      </c>
      <c r="Z14" s="274" t="s">
        <v>24</v>
      </c>
      <c r="AA14" s="159">
        <f t="shared" si="9"/>
        <v>2.5882903679999998E-4</v>
      </c>
      <c r="AB14" s="274" t="s">
        <v>24</v>
      </c>
      <c r="AC14" s="159">
        <f t="shared" si="10"/>
        <v>2.5808097599999994E-4</v>
      </c>
      <c r="AD14" s="274" t="s">
        <v>24</v>
      </c>
      <c r="AE14" s="159">
        <f t="shared" si="11"/>
        <v>8.3886960776345994E-3</v>
      </c>
      <c r="AF14" s="26" t="s">
        <v>24</v>
      </c>
    </row>
    <row r="15" spans="1:32" ht="17.100000000000001" customHeight="1" x14ac:dyDescent="0.25">
      <c r="A15" s="160">
        <v>108883</v>
      </c>
      <c r="B15" s="163" t="s">
        <v>35</v>
      </c>
      <c r="C15" s="105">
        <v>1.2999999999999999E-4</v>
      </c>
      <c r="D15" s="28" t="s">
        <v>20</v>
      </c>
      <c r="E15" s="256">
        <f t="shared" si="12"/>
        <v>2.2958208000000001E-2</v>
      </c>
      <c r="F15" s="274" t="s">
        <v>24</v>
      </c>
      <c r="G15" s="159">
        <f t="shared" si="0"/>
        <v>6.9761749199999988E-3</v>
      </c>
      <c r="H15" s="272" t="s">
        <v>24</v>
      </c>
      <c r="I15" s="159">
        <f t="shared" si="13"/>
        <v>7.3438934399999989E-3</v>
      </c>
      <c r="J15" s="274" t="s">
        <v>24</v>
      </c>
      <c r="K15" s="159">
        <f t="shared" si="1"/>
        <v>6.8849000999999998E-3</v>
      </c>
      <c r="L15" s="274" t="s">
        <v>24</v>
      </c>
      <c r="M15" s="159">
        <f t="shared" si="2"/>
        <v>4.4775780482159987E-2</v>
      </c>
      <c r="N15" s="275" t="s">
        <v>24</v>
      </c>
      <c r="O15" s="256">
        <f t="shared" si="3"/>
        <v>7.8230879999999989E-3</v>
      </c>
      <c r="P15" s="274" t="s">
        <v>24</v>
      </c>
      <c r="Q15" s="159">
        <f t="shared" si="4"/>
        <v>6.2086751999999995E-3</v>
      </c>
      <c r="R15" s="274" t="s">
        <v>24</v>
      </c>
      <c r="S15" s="159">
        <f t="shared" si="5"/>
        <v>2.2439289599999999E-2</v>
      </c>
      <c r="T15" s="9" t="s">
        <v>24</v>
      </c>
      <c r="U15" s="271">
        <f t="shared" si="6"/>
        <v>0</v>
      </c>
      <c r="V15" s="9" t="s">
        <v>24</v>
      </c>
      <c r="W15" s="159">
        <f t="shared" si="7"/>
        <v>1.3405120559999999E-3</v>
      </c>
      <c r="X15" s="274" t="s">
        <v>24</v>
      </c>
      <c r="Y15" s="159">
        <f t="shared" si="8"/>
        <v>1.4681499299999997E-3</v>
      </c>
      <c r="Z15" s="274" t="s">
        <v>24</v>
      </c>
      <c r="AA15" s="159">
        <f t="shared" si="9"/>
        <v>1.1602680959999997E-3</v>
      </c>
      <c r="AB15" s="274" t="s">
        <v>24</v>
      </c>
      <c r="AC15" s="159">
        <f t="shared" si="10"/>
        <v>1.1569147199999999E-3</v>
      </c>
      <c r="AD15" s="274" t="s">
        <v>24</v>
      </c>
      <c r="AE15" s="159">
        <f t="shared" si="11"/>
        <v>3.7604499658361989E-2</v>
      </c>
      <c r="AF15" s="26" t="s">
        <v>24</v>
      </c>
    </row>
    <row r="16" spans="1:32" ht="17.100000000000001" customHeight="1" thickBot="1" x14ac:dyDescent="0.3">
      <c r="A16" s="185">
        <v>106423</v>
      </c>
      <c r="B16" s="186" t="s">
        <v>37</v>
      </c>
      <c r="C16" s="276">
        <v>6.3999999999999997E-5</v>
      </c>
      <c r="D16" s="82" t="s">
        <v>20</v>
      </c>
      <c r="E16" s="260">
        <f t="shared" si="12"/>
        <v>1.1302502399999999E-2</v>
      </c>
      <c r="F16" s="277" t="s">
        <v>24</v>
      </c>
      <c r="G16" s="187">
        <f t="shared" si="0"/>
        <v>3.4344245759999996E-3</v>
      </c>
      <c r="H16" s="277" t="s">
        <v>24</v>
      </c>
      <c r="I16" s="187">
        <f t="shared" si="13"/>
        <v>3.6154552319999996E-3</v>
      </c>
      <c r="J16" s="277" t="s">
        <v>24</v>
      </c>
      <c r="K16" s="187">
        <f t="shared" si="1"/>
        <v>3.3894892799999996E-3</v>
      </c>
      <c r="L16" s="277" t="s">
        <v>24</v>
      </c>
      <c r="M16" s="187">
        <f t="shared" si="2"/>
        <v>2.2043461160447995E-2</v>
      </c>
      <c r="N16" s="278" t="s">
        <v>24</v>
      </c>
      <c r="O16" s="260">
        <f t="shared" si="3"/>
        <v>3.8513663999999999E-3</v>
      </c>
      <c r="P16" s="277" t="s">
        <v>24</v>
      </c>
      <c r="Q16" s="187">
        <f t="shared" si="4"/>
        <v>3.0565785599999998E-3</v>
      </c>
      <c r="R16" s="277" t="s">
        <v>24</v>
      </c>
      <c r="S16" s="187">
        <f t="shared" si="5"/>
        <v>1.1047034880000001E-2</v>
      </c>
      <c r="T16" s="244" t="s">
        <v>24</v>
      </c>
      <c r="U16" s="279">
        <f t="shared" si="6"/>
        <v>0</v>
      </c>
      <c r="V16" s="244" t="s">
        <v>24</v>
      </c>
      <c r="W16" s="187">
        <f t="shared" si="7"/>
        <v>6.5994439679999996E-4</v>
      </c>
      <c r="X16" s="277" t="s">
        <v>24</v>
      </c>
      <c r="Y16" s="187">
        <f t="shared" si="8"/>
        <v>7.2278150399999997E-4</v>
      </c>
      <c r="Z16" s="277" t="s">
        <v>24</v>
      </c>
      <c r="AA16" s="187">
        <f t="shared" si="9"/>
        <v>5.7120890880000001E-4</v>
      </c>
      <c r="AB16" s="277" t="s">
        <v>24</v>
      </c>
      <c r="AC16" s="187">
        <f t="shared" si="10"/>
        <v>5.6955801599999989E-4</v>
      </c>
      <c r="AD16" s="277" t="s">
        <v>24</v>
      </c>
      <c r="AE16" s="187">
        <f t="shared" si="11"/>
        <v>1.8512984447193594E-2</v>
      </c>
      <c r="AF16" s="246" t="s">
        <v>24</v>
      </c>
    </row>
    <row r="17" spans="1:32" ht="17.100000000000001" customHeight="1" thickBot="1" x14ac:dyDescent="0.3">
      <c r="B17" s="164"/>
      <c r="C17" s="165"/>
      <c r="D17" s="182" t="s">
        <v>23</v>
      </c>
      <c r="E17" s="280">
        <f>SUM(E6:E16)</f>
        <v>0.18142812172800002</v>
      </c>
      <c r="F17" s="265" t="s">
        <v>24</v>
      </c>
      <c r="G17" s="264">
        <f>SUM(G6:G16)</f>
        <v>5.5129490619720001E-2</v>
      </c>
      <c r="H17" s="265" t="s">
        <v>24</v>
      </c>
      <c r="I17" s="264">
        <f>SUM(I6:I16)</f>
        <v>5.8035400367039996E-2</v>
      </c>
      <c r="J17" s="265" t="s">
        <v>24</v>
      </c>
      <c r="K17" s="264">
        <f>SUM(K6:K16)</f>
        <v>5.4408187844100002E-2</v>
      </c>
      <c r="L17" s="265" t="s">
        <v>24</v>
      </c>
      <c r="M17" s="281">
        <f>SUM(M6:M16)</f>
        <v>0.35384232740567245</v>
      </c>
      <c r="N17" s="266" t="s">
        <v>24</v>
      </c>
      <c r="O17" s="282">
        <f>SUM(O6:O16)</f>
        <v>6.1822253808000001E-2</v>
      </c>
      <c r="P17" s="265" t="s">
        <v>24</v>
      </c>
      <c r="Q17" s="264">
        <f>SUM(Q6:Q16)</f>
        <v>4.9064294563200002E-2</v>
      </c>
      <c r="R17" s="283" t="s">
        <v>24</v>
      </c>
      <c r="S17" s="281">
        <f>SUM(S6:S16)</f>
        <v>0.17732734911360001</v>
      </c>
      <c r="T17" s="283" t="s">
        <v>24</v>
      </c>
      <c r="U17" s="284">
        <f>SUM(U6:U16)</f>
        <v>0</v>
      </c>
      <c r="V17" s="265" t="s">
        <v>24</v>
      </c>
      <c r="W17" s="264">
        <f>SUM(W6:W16)</f>
        <v>1.0593448080696E-2</v>
      </c>
      <c r="X17" s="265" t="s">
        <v>24</v>
      </c>
      <c r="Y17" s="264">
        <f>SUM(Y6:Y16)</f>
        <v>1.1602111289129998E-2</v>
      </c>
      <c r="Z17" s="265" t="s">
        <v>24</v>
      </c>
      <c r="AA17" s="264">
        <f>SUM(AA6:AA16)</f>
        <v>9.169063254336E-3</v>
      </c>
      <c r="AB17" s="265" t="s">
        <v>24</v>
      </c>
      <c r="AC17" s="264">
        <f>SUM(AC6:AC16)</f>
        <v>9.1425630715199994E-3</v>
      </c>
      <c r="AD17" s="265" t="s">
        <v>24</v>
      </c>
      <c r="AE17" s="281">
        <f>SUM(AE6:AE16)</f>
        <v>0.29717100487711556</v>
      </c>
      <c r="AF17" s="266" t="s">
        <v>24</v>
      </c>
    </row>
    <row r="18" spans="1:32" ht="17.100000000000001" customHeight="1" x14ac:dyDescent="0.25">
      <c r="A18" s="449" t="s">
        <v>25</v>
      </c>
      <c r="B18" s="332"/>
      <c r="C18" s="333"/>
      <c r="D18" s="334"/>
      <c r="E18" s="335"/>
      <c r="F18" s="312"/>
      <c r="G18" s="312"/>
      <c r="H18" s="336"/>
      <c r="I18" s="312"/>
      <c r="J18" s="312"/>
      <c r="K18" s="312"/>
      <c r="L18" s="312"/>
      <c r="M18" s="312"/>
    </row>
    <row r="19" spans="1:32" ht="17.100000000000001" customHeight="1" x14ac:dyDescent="0.25">
      <c r="A19" s="313">
        <v>1</v>
      </c>
      <c r="B19" s="337" t="s">
        <v>262</v>
      </c>
      <c r="C19" s="333"/>
      <c r="D19" s="334"/>
      <c r="E19" s="335"/>
      <c r="F19" s="312"/>
      <c r="G19" s="312"/>
      <c r="H19" s="336"/>
      <c r="I19" s="312"/>
      <c r="J19" s="312"/>
      <c r="K19" s="312"/>
      <c r="L19" s="312"/>
      <c r="M19" s="312"/>
    </row>
    <row r="20" spans="1:32" ht="16.5" customHeight="1" x14ac:dyDescent="0.25">
      <c r="A20" s="313">
        <v>2</v>
      </c>
      <c r="B20" s="315" t="s">
        <v>176</v>
      </c>
      <c r="C20" s="312"/>
      <c r="D20" s="338"/>
      <c r="E20" s="129"/>
      <c r="F20" s="312"/>
      <c r="G20" s="312"/>
      <c r="H20" s="312"/>
      <c r="I20" s="312"/>
      <c r="J20" s="312"/>
      <c r="K20" s="312"/>
      <c r="L20" s="312"/>
      <c r="M20" s="312"/>
    </row>
    <row r="21" spans="1:32" ht="17.100000000000001" customHeight="1" x14ac:dyDescent="0.25">
      <c r="A21" s="314"/>
      <c r="B21" s="331" t="s">
        <v>0</v>
      </c>
      <c r="C21" s="619" t="s">
        <v>2</v>
      </c>
      <c r="D21" s="619"/>
      <c r="E21" s="618" t="s">
        <v>232</v>
      </c>
      <c r="F21" s="618"/>
      <c r="G21" s="618"/>
      <c r="H21" s="618"/>
      <c r="I21" s="620" t="s">
        <v>175</v>
      </c>
      <c r="J21" s="620"/>
      <c r="K21" s="620"/>
      <c r="L21" s="620"/>
      <c r="M21" s="312"/>
    </row>
    <row r="22" spans="1:32" ht="17.100000000000001" customHeight="1" x14ac:dyDescent="0.25">
      <c r="A22" s="314"/>
      <c r="B22" s="314">
        <f>Inventory!A5</f>
        <v>1</v>
      </c>
      <c r="C22" s="342">
        <f>Inventory!E5</f>
        <v>4500</v>
      </c>
      <c r="D22" s="315" t="str">
        <f>Inventory!F5</f>
        <v>hp</v>
      </c>
      <c r="E22" s="347">
        <f>$C22*$C$32*G22/1000000</f>
        <v>353203.20000000001</v>
      </c>
      <c r="F22" s="315" t="s">
        <v>121</v>
      </c>
      <c r="G22" s="341">
        <f>Inventory!G5</f>
        <v>8760</v>
      </c>
      <c r="H22" s="341" t="str">
        <f>Inventory!H5</f>
        <v>hr/yr</v>
      </c>
      <c r="I22" s="347">
        <f>$C22*$C$32*K22/1000000</f>
        <v>120355.2</v>
      </c>
      <c r="J22" s="315" t="s">
        <v>121</v>
      </c>
      <c r="K22" s="344">
        <f>Inventory!K5</f>
        <v>2985</v>
      </c>
      <c r="L22" s="341" t="str">
        <f>Inventory!L5</f>
        <v>hr/yr</v>
      </c>
      <c r="M22" s="312"/>
    </row>
    <row r="23" spans="1:32" ht="17.100000000000001" customHeight="1" x14ac:dyDescent="0.25">
      <c r="A23" s="314"/>
      <c r="B23" s="314">
        <f>Inventory!A6</f>
        <v>3</v>
      </c>
      <c r="C23" s="342">
        <f>Inventory!E6</f>
        <v>4500</v>
      </c>
      <c r="D23" s="315" t="str">
        <f>Inventory!F6</f>
        <v>hp</v>
      </c>
      <c r="E23" s="347">
        <f>$C23*$C$32*G23/1000000</f>
        <v>353203.20000000001</v>
      </c>
      <c r="F23" s="315" t="s">
        <v>121</v>
      </c>
      <c r="G23" s="341">
        <f>Inventory!G6</f>
        <v>8760</v>
      </c>
      <c r="H23" s="341" t="str">
        <f>Inventory!H6</f>
        <v>hr/yr</v>
      </c>
      <c r="I23" s="347">
        <f>$C23*$C$32*K23/1000000</f>
        <v>95518.080000000002</v>
      </c>
      <c r="J23" s="315" t="s">
        <v>121</v>
      </c>
      <c r="K23" s="344">
        <f>Inventory!K6</f>
        <v>2369</v>
      </c>
      <c r="L23" s="341" t="str">
        <f>Inventory!L6</f>
        <v>hr/yr</v>
      </c>
      <c r="M23" s="312"/>
    </row>
    <row r="24" spans="1:32" ht="17.100000000000001" customHeight="1" x14ac:dyDescent="0.25">
      <c r="A24" s="314"/>
      <c r="B24" s="314" t="str">
        <f>Inventory!A7</f>
        <v>4a</v>
      </c>
      <c r="C24" s="342">
        <f>Inventory!E7</f>
        <v>4500</v>
      </c>
      <c r="D24" s="315" t="str">
        <f>Inventory!F7</f>
        <v>hp</v>
      </c>
      <c r="E24" s="347">
        <f>$C24*$C$32*G24/1000000</f>
        <v>353203.20000000001</v>
      </c>
      <c r="F24" s="315" t="s">
        <v>121</v>
      </c>
      <c r="G24" s="341">
        <f>Inventory!G7</f>
        <v>8760</v>
      </c>
      <c r="H24" s="341" t="str">
        <f>Inventory!H7</f>
        <v>hr/yr</v>
      </c>
      <c r="I24" s="347">
        <f>$C24*$C$32*K24/1000000</f>
        <v>345219.84000000003</v>
      </c>
      <c r="J24" s="315" t="s">
        <v>121</v>
      </c>
      <c r="K24" s="344">
        <f>Inventory!K7</f>
        <v>8562</v>
      </c>
      <c r="L24" s="341" t="str">
        <f>Inventory!L7</f>
        <v>hr/yr</v>
      </c>
      <c r="M24" s="312"/>
    </row>
    <row r="25" spans="1:32" ht="17.100000000000001" customHeight="1" x14ac:dyDescent="0.25">
      <c r="A25" s="314"/>
      <c r="B25" s="314">
        <f>Inventory!A8</f>
        <v>14</v>
      </c>
      <c r="C25" s="342">
        <f>Inventory!E8</f>
        <v>1100</v>
      </c>
      <c r="D25" s="315" t="str">
        <f>Inventory!F8</f>
        <v>hp</v>
      </c>
      <c r="E25" s="347">
        <f>$C25*$C$33*G25/1000000</f>
        <v>107325.768</v>
      </c>
      <c r="F25" s="315" t="s">
        <v>121</v>
      </c>
      <c r="G25" s="341">
        <f>Inventory!G8</f>
        <v>8760</v>
      </c>
      <c r="H25" s="341" t="str">
        <f>Inventory!H8</f>
        <v>hr/yr</v>
      </c>
      <c r="I25" s="347">
        <f>$C25*$C$33*K25/1000000</f>
        <v>0</v>
      </c>
      <c r="J25" s="315" t="s">
        <v>121</v>
      </c>
      <c r="K25" s="341">
        <f>Inventory!K8</f>
        <v>0</v>
      </c>
      <c r="L25" s="341" t="str">
        <f>Inventory!L8</f>
        <v>hr/yr</v>
      </c>
      <c r="M25" s="312"/>
    </row>
    <row r="26" spans="1:32" ht="17.100000000000001" customHeight="1" x14ac:dyDescent="0.25">
      <c r="A26" s="314"/>
      <c r="B26" s="314">
        <f>Inventory!A9</f>
        <v>15</v>
      </c>
      <c r="C26" s="342">
        <f>Inventory!E9</f>
        <v>800</v>
      </c>
      <c r="D26" s="315" t="str">
        <f>Inventory!F9</f>
        <v>kW</v>
      </c>
      <c r="E26" s="347">
        <f>$C26*$C$34*G26/1000000</f>
        <v>112982.976</v>
      </c>
      <c r="F26" s="315" t="s">
        <v>121</v>
      </c>
      <c r="G26" s="341">
        <f>Inventory!G9</f>
        <v>8760</v>
      </c>
      <c r="H26" s="341" t="str">
        <f>Inventory!H9</f>
        <v>hr/yr</v>
      </c>
      <c r="I26" s="347">
        <f>$C26*$C$34*K26/1000000</f>
        <v>20623.2624</v>
      </c>
      <c r="J26" s="315" t="s">
        <v>121</v>
      </c>
      <c r="K26" s="344">
        <f>Inventory!K9</f>
        <v>1599</v>
      </c>
      <c r="L26" s="341" t="str">
        <f>Inventory!L9</f>
        <v>hr/yr</v>
      </c>
      <c r="M26" s="312"/>
    </row>
    <row r="27" spans="1:32" ht="17.100000000000001" customHeight="1" x14ac:dyDescent="0.25">
      <c r="A27" s="314"/>
      <c r="B27" s="314">
        <f>Inventory!A10</f>
        <v>16</v>
      </c>
      <c r="C27" s="342">
        <f>Inventory!E10</f>
        <v>750</v>
      </c>
      <c r="D27" s="315" t="str">
        <f>Inventory!F10</f>
        <v>kW</v>
      </c>
      <c r="E27" s="347">
        <f>$C27*$C$34*G27/1000000</f>
        <v>105921.54</v>
      </c>
      <c r="F27" s="315" t="s">
        <v>121</v>
      </c>
      <c r="G27" s="341">
        <f>Inventory!G10</f>
        <v>8760</v>
      </c>
      <c r="H27" s="341" t="str">
        <f>Inventory!H10</f>
        <v>hr/yr</v>
      </c>
      <c r="I27" s="347">
        <f>$C27*$C$34*K27/1000000</f>
        <v>22586.921999999999</v>
      </c>
      <c r="J27" s="315" t="s">
        <v>121</v>
      </c>
      <c r="K27" s="344">
        <f>Inventory!K10</f>
        <v>1868</v>
      </c>
      <c r="L27" s="341" t="str">
        <f>Inventory!L10</f>
        <v>hr/yr</v>
      </c>
      <c r="M27" s="312"/>
    </row>
    <row r="28" spans="1:32" ht="17.100000000000001" customHeight="1" x14ac:dyDescent="0.25">
      <c r="A28" s="314"/>
      <c r="B28" s="314">
        <f>Inventory!A11</f>
        <v>17</v>
      </c>
      <c r="C28" s="342">
        <f>Inventory!E11</f>
        <v>800</v>
      </c>
      <c r="D28" s="315" t="str">
        <f>Inventory!F11</f>
        <v>kW</v>
      </c>
      <c r="E28" s="347">
        <f>$C28*$C$34*G28/1000000</f>
        <v>112982.976</v>
      </c>
      <c r="F28" s="315" t="s">
        <v>121</v>
      </c>
      <c r="G28" s="341">
        <f>Inventory!G11</f>
        <v>8760</v>
      </c>
      <c r="H28" s="341" t="str">
        <f>Inventory!H11</f>
        <v>hr/yr</v>
      </c>
      <c r="I28" s="347">
        <f>$C28*$C$34*K28/1000000</f>
        <v>17850.278399999999</v>
      </c>
      <c r="J28" s="315" t="s">
        <v>121</v>
      </c>
      <c r="K28" s="344">
        <f>Inventory!K11</f>
        <v>1384</v>
      </c>
      <c r="L28" s="341" t="str">
        <f>Inventory!L11</f>
        <v>hr/yr</v>
      </c>
      <c r="M28" s="312"/>
    </row>
    <row r="29" spans="1:32" ht="17.100000000000001" customHeight="1" x14ac:dyDescent="0.25">
      <c r="A29" s="314"/>
      <c r="B29" s="314">
        <f>Inventory!A12</f>
        <v>18</v>
      </c>
      <c r="C29" s="342">
        <f>Inventory!E12</f>
        <v>800</v>
      </c>
      <c r="D29" s="315" t="str">
        <f>Inventory!F12</f>
        <v>kW</v>
      </c>
      <c r="E29" s="347">
        <f>$C29*$C$34*G29/1000000</f>
        <v>112982.976</v>
      </c>
      <c r="F29" s="315" t="s">
        <v>121</v>
      </c>
      <c r="G29" s="341">
        <f>Inventory!G12</f>
        <v>8760</v>
      </c>
      <c r="H29" s="341" t="str">
        <f>Inventory!H12</f>
        <v>hr/yr</v>
      </c>
      <c r="I29" s="347">
        <f>$C29*$C$34*K29/1000000</f>
        <v>17798.687999999998</v>
      </c>
      <c r="J29" s="315" t="s">
        <v>121</v>
      </c>
      <c r="K29" s="344">
        <f>Inventory!K12</f>
        <v>1380</v>
      </c>
      <c r="L29" s="341" t="str">
        <f>Inventory!L12</f>
        <v>hr/yr</v>
      </c>
      <c r="M29" s="312"/>
    </row>
    <row r="30" spans="1:32" ht="17.100000000000001" customHeight="1" x14ac:dyDescent="0.25">
      <c r="A30" s="314"/>
      <c r="B30" s="314">
        <f>Inventory!A19</f>
        <v>31</v>
      </c>
      <c r="C30" s="345">
        <f>Inventory!E19</f>
        <v>5.2</v>
      </c>
      <c r="D30" s="346" t="str">
        <f>Inventory!F19</f>
        <v>MW</v>
      </c>
      <c r="E30" s="347">
        <f>$C30*1000*1.341*$C$35*G30/1000000</f>
        <v>688858.16126399988</v>
      </c>
      <c r="F30" s="315" t="s">
        <v>121</v>
      </c>
      <c r="G30" s="341">
        <f>G29</f>
        <v>8760</v>
      </c>
      <c r="H30" s="341" t="str">
        <f>H29</f>
        <v>hr/yr</v>
      </c>
      <c r="I30" s="347">
        <f>$C30*1000*1.341*$C$35*K30/1000000</f>
        <v>578530.76397479989</v>
      </c>
      <c r="J30" s="315" t="s">
        <v>121</v>
      </c>
      <c r="K30" s="344">
        <f>SUM(Inventory!K19:K20)</f>
        <v>7357</v>
      </c>
      <c r="L30" s="341" t="str">
        <f>Inventory!L19</f>
        <v>hr/yr</v>
      </c>
      <c r="M30" s="312"/>
    </row>
    <row r="31" spans="1:32" ht="17.100000000000001" customHeight="1" x14ac:dyDescent="0.25">
      <c r="A31" s="449" t="s">
        <v>168</v>
      </c>
      <c r="B31" s="312"/>
      <c r="C31" s="339"/>
      <c r="D31" s="340"/>
      <c r="E31" s="338"/>
      <c r="F31" s="129"/>
      <c r="G31" s="338"/>
      <c r="H31" s="129"/>
      <c r="I31" s="341"/>
      <c r="J31" s="341"/>
      <c r="K31" s="338"/>
      <c r="L31" s="129"/>
      <c r="M31" s="341"/>
      <c r="N31" s="173"/>
    </row>
    <row r="32" spans="1:32" ht="17.100000000000001" customHeight="1" x14ac:dyDescent="0.25">
      <c r="A32" s="312"/>
      <c r="B32" s="129" t="s">
        <v>101</v>
      </c>
      <c r="C32" s="342">
        <v>8960</v>
      </c>
      <c r="D32" s="315" t="s">
        <v>15</v>
      </c>
      <c r="E32" s="312"/>
      <c r="F32" s="312"/>
      <c r="G32" s="338"/>
      <c r="H32" s="129"/>
      <c r="I32" s="341"/>
      <c r="J32" s="341"/>
      <c r="K32" s="338"/>
      <c r="L32" s="129"/>
      <c r="M32" s="341"/>
      <c r="N32" s="173"/>
    </row>
    <row r="33" spans="1:13" ht="17.100000000000001" customHeight="1" x14ac:dyDescent="0.25">
      <c r="A33" s="312"/>
      <c r="B33" s="129" t="s">
        <v>102</v>
      </c>
      <c r="C33" s="342">
        <v>11138</v>
      </c>
      <c r="D33" s="315" t="s">
        <v>15</v>
      </c>
      <c r="E33" s="312"/>
      <c r="F33" s="312"/>
      <c r="G33" s="312"/>
      <c r="H33" s="336"/>
      <c r="I33" s="312"/>
      <c r="J33" s="312"/>
      <c r="K33" s="312"/>
      <c r="L33" s="312"/>
      <c r="M33" s="312"/>
    </row>
    <row r="34" spans="1:13" ht="17.100000000000001" customHeight="1" x14ac:dyDescent="0.25">
      <c r="A34" s="312"/>
      <c r="B34" s="129" t="s">
        <v>103</v>
      </c>
      <c r="C34" s="342">
        <v>16122</v>
      </c>
      <c r="D34" s="315" t="s">
        <v>104</v>
      </c>
      <c r="E34" s="312"/>
      <c r="F34" s="312"/>
      <c r="G34" s="312"/>
      <c r="H34" s="336"/>
      <c r="I34" s="312"/>
      <c r="J34" s="312"/>
      <c r="K34" s="312"/>
      <c r="L34" s="312"/>
      <c r="M34" s="312"/>
    </row>
    <row r="35" spans="1:13" ht="17.100000000000001" customHeight="1" x14ac:dyDescent="0.25">
      <c r="A35" s="314"/>
      <c r="B35" s="129" t="s">
        <v>105</v>
      </c>
      <c r="C35" s="342">
        <v>11277</v>
      </c>
      <c r="D35" s="315" t="s">
        <v>15</v>
      </c>
      <c r="E35" s="312"/>
      <c r="F35" s="312"/>
      <c r="G35" s="312"/>
      <c r="H35" s="336"/>
      <c r="I35" s="312"/>
      <c r="J35" s="312"/>
      <c r="K35" s="312"/>
      <c r="L35" s="312"/>
      <c r="M35" s="312"/>
    </row>
    <row r="36" spans="1:13" x14ac:dyDescent="0.25">
      <c r="C36" s="165"/>
      <c r="D36" s="164"/>
    </row>
    <row r="37" spans="1:13" x14ac:dyDescent="0.25">
      <c r="C37" s="165"/>
      <c r="D37" s="165"/>
      <c r="E37" s="172"/>
      <c r="I37" s="172"/>
    </row>
    <row r="38" spans="1:13" x14ac:dyDescent="0.25">
      <c r="C38" s="165"/>
      <c r="E38" s="172"/>
    </row>
    <row r="39" spans="1:13" x14ac:dyDescent="0.25">
      <c r="C39" s="165"/>
      <c r="E39" s="165"/>
      <c r="F39" s="172"/>
      <c r="H39" s="172"/>
    </row>
    <row r="40" spans="1:13" x14ac:dyDescent="0.25">
      <c r="C40" s="165"/>
      <c r="E40" s="170"/>
      <c r="F40" s="171"/>
      <c r="G40" s="171"/>
    </row>
    <row r="41" spans="1:13" x14ac:dyDescent="0.25">
      <c r="C41" s="165"/>
      <c r="E41" s="165"/>
      <c r="F41" s="164"/>
      <c r="G41" s="171"/>
      <c r="H41" s="172"/>
    </row>
    <row r="42" spans="1:13" x14ac:dyDescent="0.25">
      <c r="C42" s="165"/>
      <c r="E42" s="170"/>
      <c r="F42" s="170"/>
      <c r="G42" s="171"/>
    </row>
    <row r="43" spans="1:13" x14ac:dyDescent="0.25">
      <c r="C43" s="165"/>
      <c r="D43" s="170"/>
      <c r="E43" s="176"/>
      <c r="F43" s="171"/>
      <c r="G43" s="172"/>
    </row>
    <row r="44" spans="1:13" x14ac:dyDescent="0.25">
      <c r="C44" s="165"/>
      <c r="D44" s="170"/>
      <c r="E44" s="170"/>
      <c r="F44" s="171"/>
      <c r="G44" s="172"/>
      <c r="H44" s="172"/>
    </row>
    <row r="45" spans="1:13" x14ac:dyDescent="0.25">
      <c r="C45" s="165"/>
      <c r="D45" s="170"/>
      <c r="E45" s="170"/>
      <c r="F45" s="171"/>
      <c r="G45" s="172"/>
      <c r="H45" s="172"/>
    </row>
    <row r="46" spans="1:13" x14ac:dyDescent="0.25">
      <c r="C46" s="170"/>
      <c r="D46" s="177"/>
      <c r="E46" s="178"/>
      <c r="F46" s="171"/>
      <c r="G46" s="172"/>
      <c r="H46" s="172"/>
    </row>
    <row r="47" spans="1:13" x14ac:dyDescent="0.25">
      <c r="C47" s="165"/>
      <c r="D47" s="170"/>
      <c r="E47" s="170"/>
      <c r="F47" s="171"/>
      <c r="G47" s="172"/>
      <c r="H47" s="172"/>
    </row>
    <row r="48" spans="1:13" x14ac:dyDescent="0.25">
      <c r="C48" s="165"/>
      <c r="D48" s="164"/>
      <c r="E48" s="170"/>
      <c r="F48" s="171"/>
      <c r="G48" s="172"/>
      <c r="H48" s="172"/>
    </row>
    <row r="49" spans="1:8" x14ac:dyDescent="0.25">
      <c r="C49" s="165"/>
      <c r="D49" s="165"/>
      <c r="E49" s="170"/>
      <c r="F49" s="171"/>
      <c r="G49" s="172"/>
      <c r="H49" s="172"/>
    </row>
    <row r="50" spans="1:8" x14ac:dyDescent="0.25">
      <c r="C50" s="165"/>
      <c r="D50" s="170"/>
      <c r="E50" s="170"/>
      <c r="F50" s="171"/>
      <c r="G50" s="172"/>
      <c r="H50" s="172"/>
    </row>
    <row r="51" spans="1:8" x14ac:dyDescent="0.25">
      <c r="C51" s="165"/>
      <c r="D51" s="165"/>
      <c r="E51" s="170"/>
      <c r="F51" s="171"/>
      <c r="G51" s="172"/>
      <c r="H51" s="172"/>
    </row>
    <row r="52" spans="1:8" x14ac:dyDescent="0.25">
      <c r="A52" s="53"/>
      <c r="C52" s="180"/>
      <c r="D52" s="181"/>
    </row>
    <row r="53" spans="1:8" x14ac:dyDescent="0.25">
      <c r="A53" s="53"/>
      <c r="C53" s="180"/>
      <c r="D53" s="181"/>
    </row>
    <row r="54" spans="1:8" x14ac:dyDescent="0.25">
      <c r="A54" s="53"/>
      <c r="C54" s="180"/>
      <c r="D54" s="181"/>
    </row>
  </sheetData>
  <mergeCells count="24">
    <mergeCell ref="A1:AF1"/>
    <mergeCell ref="A2:AF2"/>
    <mergeCell ref="E21:H21"/>
    <mergeCell ref="C21:D21"/>
    <mergeCell ref="I21:L21"/>
    <mergeCell ref="Y5:Z5"/>
    <mergeCell ref="AA5:AB5"/>
    <mergeCell ref="AC5:AD5"/>
    <mergeCell ref="W5:X5"/>
    <mergeCell ref="U5:V5"/>
    <mergeCell ref="E5:F5"/>
    <mergeCell ref="K5:L5"/>
    <mergeCell ref="M5:N5"/>
    <mergeCell ref="I5:J5"/>
    <mergeCell ref="S5:T5"/>
    <mergeCell ref="C4:D5"/>
    <mergeCell ref="B4:B5"/>
    <mergeCell ref="A4:A5"/>
    <mergeCell ref="G5:H5"/>
    <mergeCell ref="AE5:AF5"/>
    <mergeCell ref="O5:P5"/>
    <mergeCell ref="Q5:R5"/>
    <mergeCell ref="E4:N4"/>
    <mergeCell ref="O4:AF4"/>
  </mergeCells>
  <printOptions horizontalCentered="1"/>
  <pageMargins left="0.5" right="0.5" top="0.5" bottom="0.5" header="0.3" footer="0.3"/>
  <pageSetup scale="55" fitToWidth="0" fitToHeight="0" orientation="landscape" r:id="rId1"/>
  <headerFooter scaleWithDoc="0">
    <oddFooter>&amp;L&amp;"Arial,Regular"&amp;9Hilcorp Alaska, LLC
Grayling Platform
Title V Renewal Application&amp;C&amp;"Arial,Regular"&amp;9Page D-&amp;P&amp;R&amp;"Arial,Regular"&amp;9December 2022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F4AB4-A350-4FA8-8937-E5B4DD989B93}">
  <dimension ref="A1:N56"/>
  <sheetViews>
    <sheetView view="pageBreakPreview" zoomScaleNormal="100" zoomScaleSheetLayoutView="100" workbookViewId="0">
      <selection activeCell="B27" sqref="B27"/>
    </sheetView>
  </sheetViews>
  <sheetFormatPr defaultColWidth="9.140625" defaultRowHeight="12.75" x14ac:dyDescent="0.2"/>
  <cols>
    <col min="1" max="1" width="9.28515625" style="2" customWidth="1"/>
    <col min="2" max="2" width="29.42578125" style="23" customWidth="1"/>
    <col min="3" max="3" width="9.7109375" style="1" customWidth="1"/>
    <col min="4" max="4" width="10.140625" style="1" customWidth="1"/>
    <col min="5" max="5" width="11.5703125" style="1" customWidth="1"/>
    <col min="6" max="6" width="10" style="1" customWidth="1"/>
    <col min="7" max="7" width="11" style="1" customWidth="1"/>
    <col min="8" max="8" width="8.5703125" style="1" customWidth="1"/>
    <col min="9" max="9" width="9.28515625" style="1" customWidth="1"/>
    <col min="10" max="10" width="5" style="1" customWidth="1"/>
    <col min="11" max="11" width="9.140625" style="1"/>
    <col min="12" max="12" width="12.85546875" style="1" customWidth="1"/>
    <col min="13" max="13" width="9.140625" style="1"/>
    <col min="14" max="14" width="11.5703125" style="1" customWidth="1"/>
    <col min="15" max="16384" width="9.140625" style="1"/>
  </cols>
  <sheetData>
    <row r="1" spans="1:14" ht="17.100000000000001" customHeight="1" x14ac:dyDescent="0.2">
      <c r="A1" s="517" t="s">
        <v>198</v>
      </c>
      <c r="B1" s="517"/>
      <c r="C1" s="517"/>
      <c r="D1" s="517"/>
      <c r="E1" s="517"/>
      <c r="F1" s="517"/>
      <c r="G1" s="517"/>
      <c r="H1" s="517"/>
      <c r="I1" s="517"/>
      <c r="J1" s="517"/>
      <c r="K1" s="33"/>
      <c r="L1" s="33"/>
      <c r="M1" s="33"/>
      <c r="N1" s="33"/>
    </row>
    <row r="2" spans="1:14" ht="17.100000000000001" customHeight="1" x14ac:dyDescent="0.2">
      <c r="A2" s="517" t="str">
        <f>Inventory!A2</f>
        <v>Hilcorp Alaska, LLC - Grayling Platform</v>
      </c>
      <c r="B2" s="517"/>
      <c r="C2" s="517"/>
      <c r="D2" s="517"/>
      <c r="E2" s="517"/>
      <c r="F2" s="517"/>
      <c r="G2" s="517"/>
      <c r="H2" s="517"/>
      <c r="I2" s="517"/>
      <c r="J2" s="517"/>
      <c r="K2" s="33"/>
      <c r="L2" s="33"/>
      <c r="M2" s="33"/>
      <c r="N2" s="33"/>
    </row>
    <row r="3" spans="1:14" ht="17.100000000000001" customHeight="1" thickBot="1" x14ac:dyDescent="0.25">
      <c r="A3" s="53"/>
      <c r="B3" s="54"/>
      <c r="C3" s="38"/>
      <c r="D3" s="38"/>
      <c r="E3" s="38"/>
      <c r="F3" s="38"/>
      <c r="G3" s="38"/>
      <c r="H3" s="38"/>
      <c r="I3" s="38"/>
      <c r="J3" s="38"/>
      <c r="K3" s="38"/>
      <c r="L3" s="38"/>
    </row>
    <row r="4" spans="1:14" ht="17.100000000000001" customHeight="1" x14ac:dyDescent="0.2">
      <c r="A4" s="479" t="s">
        <v>45</v>
      </c>
      <c r="B4" s="477" t="s">
        <v>28</v>
      </c>
      <c r="C4" s="477" t="s">
        <v>174</v>
      </c>
      <c r="D4" s="477"/>
      <c r="E4" s="514" t="s">
        <v>159</v>
      </c>
      <c r="F4" s="515"/>
      <c r="G4" s="515"/>
      <c r="H4" s="515"/>
      <c r="I4" s="515"/>
      <c r="J4" s="623"/>
    </row>
    <row r="5" spans="1:14" s="52" customFormat="1" ht="17.100000000000001" customHeight="1" thickBot="1" x14ac:dyDescent="0.25">
      <c r="A5" s="480"/>
      <c r="B5" s="478"/>
      <c r="C5" s="478"/>
      <c r="D5" s="478"/>
      <c r="E5" s="625" t="s">
        <v>131</v>
      </c>
      <c r="F5" s="625"/>
      <c r="G5" s="625" t="s">
        <v>132</v>
      </c>
      <c r="H5" s="625"/>
      <c r="I5" s="625" t="s">
        <v>133</v>
      </c>
      <c r="J5" s="626"/>
    </row>
    <row r="6" spans="1:14" ht="17.100000000000001" customHeight="1" thickTop="1" x14ac:dyDescent="0.2">
      <c r="A6" s="5">
        <v>71432</v>
      </c>
      <c r="B6" s="58" t="s">
        <v>26</v>
      </c>
      <c r="C6" s="59">
        <v>2.0999999999999999E-3</v>
      </c>
      <c r="D6" s="12" t="s">
        <v>19</v>
      </c>
      <c r="E6" s="148">
        <f>$E$28*C6/2000</f>
        <v>3.6176991150442475E-5</v>
      </c>
      <c r="F6" s="12" t="s">
        <v>24</v>
      </c>
      <c r="G6" s="148">
        <f>$E$31*C6/2000</f>
        <v>2.2610619469026546E-5</v>
      </c>
      <c r="H6" s="12" t="s">
        <v>24</v>
      </c>
      <c r="I6" s="148">
        <f>$E$32*C6/2000</f>
        <v>1.5139618584070795E-5</v>
      </c>
      <c r="J6" s="61" t="s">
        <v>24</v>
      </c>
    </row>
    <row r="7" spans="1:14" ht="17.100000000000001" customHeight="1" x14ac:dyDescent="0.2">
      <c r="A7" s="60">
        <v>106467</v>
      </c>
      <c r="B7" s="57" t="s">
        <v>179</v>
      </c>
      <c r="C7" s="59">
        <v>1.1999999999999999E-3</v>
      </c>
      <c r="D7" s="12" t="s">
        <v>19</v>
      </c>
      <c r="E7" s="148">
        <f t="shared" ref="E7:E12" si="0">$E$28*C7/2000</f>
        <v>2.0672566371681414E-5</v>
      </c>
      <c r="F7" s="12" t="s">
        <v>24</v>
      </c>
      <c r="G7" s="148">
        <f t="shared" ref="G7:G12" si="1">$E$31*C7/2000</f>
        <v>1.2920353982300884E-5</v>
      </c>
      <c r="H7" s="12" t="s">
        <v>24</v>
      </c>
      <c r="I7" s="148">
        <f t="shared" ref="I7:I12" si="2">$E$32*C7/2000</f>
        <v>8.6512106194690267E-6</v>
      </c>
      <c r="J7" s="61" t="s">
        <v>24</v>
      </c>
    </row>
    <row r="8" spans="1:14" ht="17.100000000000001" customHeight="1" x14ac:dyDescent="0.2">
      <c r="A8" s="60">
        <v>5000</v>
      </c>
      <c r="B8" s="57" t="s">
        <v>33</v>
      </c>
      <c r="C8" s="59">
        <v>7.4999999999999997E-2</v>
      </c>
      <c r="D8" s="12" t="s">
        <v>19</v>
      </c>
      <c r="E8" s="148">
        <f t="shared" si="0"/>
        <v>1.2920353982300884E-3</v>
      </c>
      <c r="F8" s="12" t="s">
        <v>24</v>
      </c>
      <c r="G8" s="148">
        <f t="shared" si="1"/>
        <v>8.0752212389380534E-4</v>
      </c>
      <c r="H8" s="12" t="s">
        <v>24</v>
      </c>
      <c r="I8" s="148">
        <f t="shared" si="2"/>
        <v>5.4070066371681412E-4</v>
      </c>
      <c r="J8" s="61" t="s">
        <v>24</v>
      </c>
    </row>
    <row r="9" spans="1:14" ht="17.100000000000001" customHeight="1" x14ac:dyDescent="0.2">
      <c r="A9" s="60">
        <v>110543</v>
      </c>
      <c r="B9" s="58" t="s">
        <v>27</v>
      </c>
      <c r="C9" s="59">
        <v>1.8</v>
      </c>
      <c r="D9" s="12" t="s">
        <v>19</v>
      </c>
      <c r="E9" s="148">
        <f t="shared" si="0"/>
        <v>3.1008849557522124E-2</v>
      </c>
      <c r="F9" s="12" t="s">
        <v>24</v>
      </c>
      <c r="G9" s="148">
        <f t="shared" si="1"/>
        <v>1.938053097345133E-2</v>
      </c>
      <c r="H9" s="12" t="s">
        <v>24</v>
      </c>
      <c r="I9" s="148">
        <f t="shared" si="2"/>
        <v>1.2976815929203541E-2</v>
      </c>
      <c r="J9" s="61" t="s">
        <v>24</v>
      </c>
    </row>
    <row r="10" spans="1:14" ht="17.100000000000001" customHeight="1" x14ac:dyDescent="0.2">
      <c r="A10" s="60" t="s">
        <v>7</v>
      </c>
      <c r="B10" s="58" t="s">
        <v>34</v>
      </c>
      <c r="C10" s="59">
        <v>8.8200000000000003E-5</v>
      </c>
      <c r="D10" s="12" t="s">
        <v>19</v>
      </c>
      <c r="E10" s="148">
        <f t="shared" si="0"/>
        <v>1.5194336283185842E-6</v>
      </c>
      <c r="F10" s="12" t="s">
        <v>24</v>
      </c>
      <c r="G10" s="148">
        <f t="shared" si="1"/>
        <v>9.4964601769911499E-7</v>
      </c>
      <c r="H10" s="12" t="s">
        <v>24</v>
      </c>
      <c r="I10" s="148">
        <f t="shared" si="2"/>
        <v>6.3586398053097342E-7</v>
      </c>
      <c r="J10" s="61" t="s">
        <v>24</v>
      </c>
    </row>
    <row r="11" spans="1:14" ht="17.100000000000001" customHeight="1" x14ac:dyDescent="0.2">
      <c r="A11" s="60">
        <v>91203</v>
      </c>
      <c r="B11" s="58" t="s">
        <v>36</v>
      </c>
      <c r="C11" s="59">
        <v>6.0999999999999997E-4</v>
      </c>
      <c r="D11" s="12" t="s">
        <v>19</v>
      </c>
      <c r="E11" s="148">
        <f t="shared" si="0"/>
        <v>1.0508554572271386E-5</v>
      </c>
      <c r="F11" s="12" t="s">
        <v>24</v>
      </c>
      <c r="G11" s="148">
        <f t="shared" si="1"/>
        <v>6.5678466076696162E-6</v>
      </c>
      <c r="H11" s="12" t="s">
        <v>24</v>
      </c>
      <c r="I11" s="148">
        <f t="shared" si="2"/>
        <v>4.3976987315634218E-6</v>
      </c>
      <c r="J11" s="61" t="s">
        <v>24</v>
      </c>
    </row>
    <row r="12" spans="1:14" ht="17.100000000000001" customHeight="1" x14ac:dyDescent="0.2">
      <c r="A12" s="60">
        <v>108883</v>
      </c>
      <c r="B12" s="58" t="s">
        <v>35</v>
      </c>
      <c r="C12" s="59">
        <v>3.3999999999999998E-3</v>
      </c>
      <c r="D12" s="12" t="s">
        <v>19</v>
      </c>
      <c r="E12" s="148">
        <f t="shared" si="0"/>
        <v>5.8572271386430677E-5</v>
      </c>
      <c r="F12" s="12" t="s">
        <v>24</v>
      </c>
      <c r="G12" s="148">
        <f t="shared" si="1"/>
        <v>3.6607669616519172E-5</v>
      </c>
      <c r="H12" s="12" t="s">
        <v>24</v>
      </c>
      <c r="I12" s="148">
        <f t="shared" si="2"/>
        <v>2.4511763421828906E-5</v>
      </c>
      <c r="J12" s="61" t="s">
        <v>24</v>
      </c>
    </row>
    <row r="13" spans="1:14" ht="17.100000000000001" customHeight="1" x14ac:dyDescent="0.2">
      <c r="A13" s="5" t="s">
        <v>7</v>
      </c>
      <c r="B13" s="58" t="s">
        <v>186</v>
      </c>
      <c r="C13" s="59">
        <v>2.0000000000000001E-4</v>
      </c>
      <c r="D13" s="12" t="s">
        <v>19</v>
      </c>
      <c r="E13" s="148">
        <f t="shared" ref="E13:E22" si="3">$E$28*C13/2000</f>
        <v>3.4454277286135694E-6</v>
      </c>
      <c r="F13" s="12" t="s">
        <v>24</v>
      </c>
      <c r="G13" s="148">
        <f t="shared" ref="G13:G22" si="4">$E$31*C13/2000</f>
        <v>2.153392330383481E-6</v>
      </c>
      <c r="H13" s="12" t="s">
        <v>24</v>
      </c>
      <c r="I13" s="148">
        <f t="shared" ref="I13:I22" si="5">$E$32*C13/2000</f>
        <v>1.4418684365781711E-6</v>
      </c>
      <c r="J13" s="61" t="s">
        <v>24</v>
      </c>
    </row>
    <row r="14" spans="1:14" ht="17.100000000000001" customHeight="1" x14ac:dyDescent="0.2">
      <c r="A14" s="5" t="s">
        <v>7</v>
      </c>
      <c r="B14" s="58" t="s">
        <v>143</v>
      </c>
      <c r="C14" s="59">
        <v>1.2E-5</v>
      </c>
      <c r="D14" s="12" t="s">
        <v>19</v>
      </c>
      <c r="E14" s="148">
        <f t="shared" si="3"/>
        <v>2.0672566371681417E-7</v>
      </c>
      <c r="F14" s="12" t="s">
        <v>24</v>
      </c>
      <c r="G14" s="148">
        <f t="shared" si="4"/>
        <v>1.2920353982300884E-7</v>
      </c>
      <c r="H14" s="12" t="s">
        <v>24</v>
      </c>
      <c r="I14" s="148">
        <f t="shared" si="5"/>
        <v>8.6512106194690273E-8</v>
      </c>
      <c r="J14" s="61" t="s">
        <v>24</v>
      </c>
    </row>
    <row r="15" spans="1:14" ht="17.100000000000001" customHeight="1" x14ac:dyDescent="0.2">
      <c r="A15" s="60" t="s">
        <v>7</v>
      </c>
      <c r="B15" s="58" t="s">
        <v>39</v>
      </c>
      <c r="C15" s="59">
        <v>1.1000000000000001E-3</v>
      </c>
      <c r="D15" s="12" t="s">
        <v>19</v>
      </c>
      <c r="E15" s="148">
        <f t="shared" si="3"/>
        <v>1.8949852507374631E-5</v>
      </c>
      <c r="F15" s="12" t="s">
        <v>24</v>
      </c>
      <c r="G15" s="148">
        <f t="shared" si="4"/>
        <v>1.1843657817109144E-5</v>
      </c>
      <c r="H15" s="12" t="s">
        <v>24</v>
      </c>
      <c r="I15" s="148">
        <f t="shared" si="5"/>
        <v>7.9302764011799424E-6</v>
      </c>
      <c r="J15" s="61" t="s">
        <v>24</v>
      </c>
    </row>
    <row r="16" spans="1:14" ht="17.100000000000001" customHeight="1" x14ac:dyDescent="0.2">
      <c r="A16" s="60" t="s">
        <v>7</v>
      </c>
      <c r="B16" s="58" t="s">
        <v>40</v>
      </c>
      <c r="C16" s="59">
        <v>1.4E-3</v>
      </c>
      <c r="D16" s="12" t="s">
        <v>19</v>
      </c>
      <c r="E16" s="148">
        <f t="shared" si="3"/>
        <v>2.4117994100294985E-5</v>
      </c>
      <c r="F16" s="12" t="s">
        <v>24</v>
      </c>
      <c r="G16" s="148">
        <f t="shared" si="4"/>
        <v>1.5073746312684366E-5</v>
      </c>
      <c r="H16" s="12" t="s">
        <v>24</v>
      </c>
      <c r="I16" s="148">
        <f t="shared" si="5"/>
        <v>1.0093079056047197E-5</v>
      </c>
      <c r="J16" s="61" t="s">
        <v>24</v>
      </c>
    </row>
    <row r="17" spans="1:12" ht="17.100000000000001" customHeight="1" x14ac:dyDescent="0.2">
      <c r="A17" s="60" t="s">
        <v>7</v>
      </c>
      <c r="B17" s="58" t="s">
        <v>178</v>
      </c>
      <c r="C17" s="59">
        <v>8.3999999999999995E-5</v>
      </c>
      <c r="D17" s="12" t="s">
        <v>19</v>
      </c>
      <c r="E17" s="148">
        <f t="shared" si="3"/>
        <v>1.4470796460176989E-6</v>
      </c>
      <c r="F17" s="12" t="s">
        <v>24</v>
      </c>
      <c r="G17" s="148">
        <f t="shared" si="4"/>
        <v>9.0442477876106182E-7</v>
      </c>
      <c r="H17" s="12" t="s">
        <v>24</v>
      </c>
      <c r="I17" s="148">
        <f t="shared" si="5"/>
        <v>6.0558474336283186E-7</v>
      </c>
      <c r="J17" s="61" t="s">
        <v>24</v>
      </c>
    </row>
    <row r="18" spans="1:12" ht="17.100000000000001" customHeight="1" x14ac:dyDescent="0.2">
      <c r="A18" s="60" t="s">
        <v>7</v>
      </c>
      <c r="B18" s="58" t="s">
        <v>41</v>
      </c>
      <c r="C18" s="59">
        <v>5.0000000000000001E-4</v>
      </c>
      <c r="D18" s="12" t="s">
        <v>19</v>
      </c>
      <c r="E18" s="148">
        <f t="shared" si="3"/>
        <v>8.6135693215339221E-6</v>
      </c>
      <c r="F18" s="12" t="s">
        <v>24</v>
      </c>
      <c r="G18" s="148">
        <f t="shared" si="4"/>
        <v>5.383480825958702E-6</v>
      </c>
      <c r="H18" s="12" t="s">
        <v>24</v>
      </c>
      <c r="I18" s="148">
        <f t="shared" si="5"/>
        <v>3.6046710914454278E-6</v>
      </c>
      <c r="J18" s="61" t="s">
        <v>24</v>
      </c>
    </row>
    <row r="19" spans="1:12" ht="17.100000000000001" customHeight="1" x14ac:dyDescent="0.2">
      <c r="A19" s="60" t="s">
        <v>7</v>
      </c>
      <c r="B19" s="58" t="s">
        <v>42</v>
      </c>
      <c r="C19" s="59">
        <v>3.8000000000000002E-4</v>
      </c>
      <c r="D19" s="12" t="s">
        <v>19</v>
      </c>
      <c r="E19" s="148">
        <f t="shared" si="3"/>
        <v>6.546312684365782E-6</v>
      </c>
      <c r="F19" s="12" t="s">
        <v>24</v>
      </c>
      <c r="G19" s="148">
        <f t="shared" si="4"/>
        <v>4.0914454277286136E-6</v>
      </c>
      <c r="H19" s="12" t="s">
        <v>24</v>
      </c>
      <c r="I19" s="148">
        <f t="shared" si="5"/>
        <v>2.7395500294985254E-6</v>
      </c>
      <c r="J19" s="61" t="s">
        <v>24</v>
      </c>
    </row>
    <row r="20" spans="1:12" ht="17.100000000000001" customHeight="1" x14ac:dyDescent="0.2">
      <c r="A20" s="60" t="s">
        <v>7</v>
      </c>
      <c r="B20" s="58" t="s">
        <v>43</v>
      </c>
      <c r="C20" s="59">
        <v>2.5999999999999998E-4</v>
      </c>
      <c r="D20" s="12" t="s">
        <v>19</v>
      </c>
      <c r="E20" s="148">
        <f t="shared" si="3"/>
        <v>4.4790560471976394E-6</v>
      </c>
      <c r="F20" s="12" t="s">
        <v>24</v>
      </c>
      <c r="G20" s="148">
        <f t="shared" si="4"/>
        <v>2.7994100294985247E-6</v>
      </c>
      <c r="H20" s="12" t="s">
        <v>24</v>
      </c>
      <c r="I20" s="148">
        <f t="shared" si="5"/>
        <v>1.8744289675516223E-6</v>
      </c>
      <c r="J20" s="61" t="s">
        <v>24</v>
      </c>
    </row>
    <row r="21" spans="1:12" ht="17.100000000000001" customHeight="1" x14ac:dyDescent="0.2">
      <c r="A21" s="60" t="s">
        <v>7</v>
      </c>
      <c r="B21" s="58" t="s">
        <v>44</v>
      </c>
      <c r="C21" s="59">
        <v>2.0999999999999999E-3</v>
      </c>
      <c r="D21" s="12" t="s">
        <v>19</v>
      </c>
      <c r="E21" s="148">
        <f t="shared" si="3"/>
        <v>3.6176991150442475E-5</v>
      </c>
      <c r="F21" s="12" t="s">
        <v>24</v>
      </c>
      <c r="G21" s="148">
        <f t="shared" si="4"/>
        <v>2.2610619469026546E-5</v>
      </c>
      <c r="H21" s="12" t="s">
        <v>24</v>
      </c>
      <c r="I21" s="148">
        <f t="shared" si="5"/>
        <v>1.5139618584070795E-5</v>
      </c>
      <c r="J21" s="61" t="s">
        <v>24</v>
      </c>
    </row>
    <row r="22" spans="1:12" ht="17.100000000000001" customHeight="1" thickBot="1" x14ac:dyDescent="0.25">
      <c r="A22" s="15" t="s">
        <v>7</v>
      </c>
      <c r="B22" s="63" t="s">
        <v>144</v>
      </c>
      <c r="C22" s="155">
        <v>2.4000000000000001E-5</v>
      </c>
      <c r="D22" s="17" t="s">
        <v>19</v>
      </c>
      <c r="E22" s="149">
        <f t="shared" si="3"/>
        <v>4.1345132743362834E-7</v>
      </c>
      <c r="F22" s="17" t="s">
        <v>24</v>
      </c>
      <c r="G22" s="149">
        <f t="shared" si="4"/>
        <v>2.5840707964601767E-7</v>
      </c>
      <c r="H22" s="17" t="s">
        <v>24</v>
      </c>
      <c r="I22" s="149">
        <f t="shared" si="5"/>
        <v>1.7302421238938055E-7</v>
      </c>
      <c r="J22" s="76" t="s">
        <v>24</v>
      </c>
    </row>
    <row r="23" spans="1:12" ht="17.100000000000001" customHeight="1" thickBot="1" x14ac:dyDescent="0.25">
      <c r="B23" s="44"/>
      <c r="C23" s="40"/>
      <c r="D23" s="70" t="s">
        <v>23</v>
      </c>
      <c r="E23" s="147">
        <f>SUM(E6:E22)</f>
        <v>3.2532731233038355E-2</v>
      </c>
      <c r="F23" s="138" t="s">
        <v>24</v>
      </c>
      <c r="G23" s="146">
        <f>SUM(G6:G22)</f>
        <v>2.0332957020648967E-2</v>
      </c>
      <c r="H23" s="138" t="s">
        <v>24</v>
      </c>
      <c r="I23" s="146">
        <f>SUM(I6:I22)</f>
        <v>1.3614541361886136E-2</v>
      </c>
      <c r="J23" s="36" t="s">
        <v>24</v>
      </c>
    </row>
    <row r="24" spans="1:12" ht="17.100000000000001" customHeight="1" x14ac:dyDescent="0.2">
      <c r="A24" s="446" t="s">
        <v>25</v>
      </c>
      <c r="B24" s="34"/>
      <c r="C24" s="348"/>
      <c r="D24" s="349"/>
      <c r="E24" s="350"/>
      <c r="F24" s="351"/>
      <c r="G24" s="35"/>
      <c r="H24" s="35"/>
    </row>
    <row r="25" spans="1:12" ht="17.100000000000001" customHeight="1" x14ac:dyDescent="0.2">
      <c r="A25" s="320">
        <v>1</v>
      </c>
      <c r="B25" s="352" t="s">
        <v>263</v>
      </c>
      <c r="C25" s="35"/>
      <c r="D25" s="35"/>
      <c r="E25" s="35"/>
      <c r="F25" s="35"/>
      <c r="G25" s="35"/>
      <c r="H25" s="35"/>
    </row>
    <row r="26" spans="1:12" ht="17.100000000000001" customHeight="1" x14ac:dyDescent="0.2">
      <c r="A26" s="320">
        <v>2</v>
      </c>
      <c r="B26" s="34" t="s">
        <v>176</v>
      </c>
      <c r="C26" s="55"/>
      <c r="D26" s="348"/>
      <c r="E26" s="35"/>
      <c r="F26" s="200"/>
      <c r="G26" s="56"/>
      <c r="H26" s="35"/>
    </row>
    <row r="27" spans="1:12" ht="17.100000000000001" customHeight="1" x14ac:dyDescent="0.2">
      <c r="A27" s="55"/>
      <c r="B27" s="357" t="s">
        <v>0</v>
      </c>
      <c r="C27" s="622" t="s">
        <v>2</v>
      </c>
      <c r="D27" s="622"/>
      <c r="E27" s="624" t="s">
        <v>193</v>
      </c>
      <c r="F27" s="624"/>
      <c r="G27" s="624"/>
      <c r="H27" s="624"/>
    </row>
    <row r="28" spans="1:12" ht="17.100000000000001" customHeight="1" x14ac:dyDescent="0.2">
      <c r="A28" s="55"/>
      <c r="B28" s="55" t="str">
        <f>Inventory!A29</f>
        <v>19a</v>
      </c>
      <c r="C28" s="84">
        <f>Inventory!E29</f>
        <v>4</v>
      </c>
      <c r="D28" s="65" t="str">
        <f>Inventory!F29</f>
        <v>MMBtu/hr</v>
      </c>
      <c r="E28" s="66">
        <f>C28/$C$34*G28</f>
        <v>34.454277286135692</v>
      </c>
      <c r="F28" s="34" t="s">
        <v>134</v>
      </c>
      <c r="G28" s="318">
        <f>Inventory!G29</f>
        <v>8760</v>
      </c>
      <c r="H28" s="318" t="str">
        <f>Inventory!H29</f>
        <v>hr/yr</v>
      </c>
    </row>
    <row r="29" spans="1:12" ht="17.100000000000001" customHeight="1" x14ac:dyDescent="0.2">
      <c r="A29" s="55"/>
      <c r="B29" s="55" t="str">
        <f>Inventory!A30</f>
        <v>19b</v>
      </c>
      <c r="C29" s="84">
        <f>Inventory!E30</f>
        <v>4</v>
      </c>
      <c r="D29" s="65" t="str">
        <f>Inventory!F30</f>
        <v>MMBtu/hr</v>
      </c>
      <c r="E29" s="66">
        <f>C29/$C$34*G29</f>
        <v>34.454277286135692</v>
      </c>
      <c r="F29" s="34" t="s">
        <v>134</v>
      </c>
      <c r="G29" s="318">
        <f>Inventory!G30</f>
        <v>8760</v>
      </c>
      <c r="H29" s="318" t="str">
        <f>Inventory!H30</f>
        <v>hr/yr</v>
      </c>
    </row>
    <row r="30" spans="1:12" ht="17.100000000000001" customHeight="1" x14ac:dyDescent="0.2">
      <c r="A30" s="55"/>
      <c r="B30" s="55" t="str">
        <f>Inventory!A31</f>
        <v>20a</v>
      </c>
      <c r="C30" s="84">
        <f>Inventory!E31</f>
        <v>4</v>
      </c>
      <c r="D30" s="65" t="str">
        <f>Inventory!F31</f>
        <v>MMBtu/hr</v>
      </c>
      <c r="E30" s="66">
        <f>C30/$C$34*G30</f>
        <v>34.454277286135692</v>
      </c>
      <c r="F30" s="34" t="s">
        <v>134</v>
      </c>
      <c r="G30" s="318">
        <f>Inventory!G31</f>
        <v>8760</v>
      </c>
      <c r="H30" s="318" t="str">
        <f>Inventory!H31</f>
        <v>hr/yr</v>
      </c>
    </row>
    <row r="31" spans="1:12" ht="17.100000000000001" customHeight="1" x14ac:dyDescent="0.2">
      <c r="A31" s="55"/>
      <c r="B31" s="55" t="s">
        <v>7</v>
      </c>
      <c r="C31" s="354">
        <f>Inventory!E26</f>
        <v>2.5</v>
      </c>
      <c r="D31" s="65" t="str">
        <f>Inventory!F26</f>
        <v>MMBtu/hr</v>
      </c>
      <c r="E31" s="355">
        <f>C31/$C$34*G31</f>
        <v>21.533923303834808</v>
      </c>
      <c r="F31" s="34" t="s">
        <v>134</v>
      </c>
      <c r="G31" s="318">
        <v>8760</v>
      </c>
      <c r="H31" s="318" t="s">
        <v>5</v>
      </c>
      <c r="I31" s="40"/>
      <c r="J31" s="43"/>
      <c r="K31" s="18"/>
      <c r="L31" s="18"/>
    </row>
    <row r="32" spans="1:12" ht="17.100000000000001" customHeight="1" x14ac:dyDescent="0.2">
      <c r="A32" s="55"/>
      <c r="B32" s="55" t="s">
        <v>7</v>
      </c>
      <c r="C32" s="84">
        <f>Inventory!E28</f>
        <v>50</v>
      </c>
      <c r="D32" s="356" t="str">
        <f>Inventory!F28</f>
        <v>bhp</v>
      </c>
      <c r="E32" s="355">
        <f>C32/$C$34*G32*C35/1000000</f>
        <v>14.418684365781711</v>
      </c>
      <c r="F32" s="34" t="s">
        <v>134</v>
      </c>
      <c r="G32" s="318">
        <v>8760</v>
      </c>
      <c r="H32" s="318" t="s">
        <v>5</v>
      </c>
      <c r="I32" s="40"/>
      <c r="J32" s="43"/>
      <c r="K32" s="18"/>
      <c r="L32" s="18"/>
    </row>
    <row r="33" spans="1:12" ht="17.100000000000001" customHeight="1" x14ac:dyDescent="0.2">
      <c r="A33" s="446" t="s">
        <v>168</v>
      </c>
      <c r="B33" s="64"/>
      <c r="C33" s="65"/>
      <c r="D33" s="200"/>
      <c r="E33" s="56"/>
      <c r="F33" s="318"/>
      <c r="G33" s="318"/>
      <c r="H33" s="318"/>
      <c r="I33" s="40"/>
      <c r="J33" s="43"/>
      <c r="K33" s="18"/>
      <c r="L33" s="18"/>
    </row>
    <row r="34" spans="1:12" ht="17.100000000000001" customHeight="1" x14ac:dyDescent="0.2">
      <c r="A34" s="35"/>
      <c r="B34" s="56" t="s">
        <v>13</v>
      </c>
      <c r="C34" s="318">
        <f>CO2e!C46</f>
        <v>1017</v>
      </c>
      <c r="D34" s="35" t="s">
        <v>14</v>
      </c>
      <c r="E34" s="35"/>
      <c r="F34" s="318"/>
      <c r="G34" s="318"/>
      <c r="H34" s="35"/>
    </row>
    <row r="35" spans="1:12" ht="17.100000000000001" customHeight="1" x14ac:dyDescent="0.2">
      <c r="A35" s="55"/>
      <c r="B35" s="56" t="s">
        <v>106</v>
      </c>
      <c r="C35" s="353">
        <f>CO2e!C47</f>
        <v>33479</v>
      </c>
      <c r="D35" s="348" t="str">
        <f>CO2e!D47</f>
        <v>Btu/hr/bhp</v>
      </c>
      <c r="E35" s="35"/>
      <c r="F35" s="35"/>
      <c r="G35" s="35"/>
      <c r="H35" s="35"/>
    </row>
    <row r="36" spans="1:12" ht="17.100000000000001" customHeight="1" x14ac:dyDescent="0.2">
      <c r="A36" s="152"/>
      <c r="B36" s="2"/>
      <c r="C36" s="44"/>
      <c r="D36" s="45"/>
      <c r="E36" s="45"/>
      <c r="F36" s="39"/>
    </row>
    <row r="37" spans="1:12" x14ac:dyDescent="0.2">
      <c r="C37" s="40"/>
      <c r="D37" s="42"/>
    </row>
    <row r="38" spans="1:12" x14ac:dyDescent="0.2">
      <c r="C38" s="40"/>
      <c r="D38" s="44"/>
    </row>
    <row r="39" spans="1:12" x14ac:dyDescent="0.2">
      <c r="C39" s="40"/>
      <c r="D39" s="40"/>
      <c r="E39" s="42"/>
      <c r="G39" s="42"/>
    </row>
    <row r="40" spans="1:12" x14ac:dyDescent="0.2">
      <c r="C40" s="40"/>
      <c r="E40" s="42"/>
    </row>
    <row r="41" spans="1:12" x14ac:dyDescent="0.2">
      <c r="C41" s="40"/>
      <c r="E41" s="40"/>
      <c r="F41" s="42"/>
    </row>
    <row r="42" spans="1:12" x14ac:dyDescent="0.2">
      <c r="C42" s="40"/>
      <c r="E42" s="45"/>
      <c r="F42" s="39"/>
    </row>
    <row r="43" spans="1:12" x14ac:dyDescent="0.2">
      <c r="C43" s="40"/>
      <c r="E43" s="40"/>
      <c r="F43" s="44"/>
    </row>
    <row r="44" spans="1:12" x14ac:dyDescent="0.2">
      <c r="C44" s="40"/>
      <c r="E44" s="45"/>
      <c r="F44" s="45"/>
    </row>
    <row r="45" spans="1:12" x14ac:dyDescent="0.2">
      <c r="C45" s="40"/>
      <c r="D45" s="45"/>
      <c r="E45" s="46"/>
      <c r="F45" s="39"/>
    </row>
    <row r="46" spans="1:12" x14ac:dyDescent="0.2">
      <c r="C46" s="40"/>
      <c r="D46" s="45"/>
      <c r="E46" s="45"/>
      <c r="F46" s="39"/>
    </row>
    <row r="47" spans="1:12" x14ac:dyDescent="0.2">
      <c r="C47" s="40"/>
      <c r="D47" s="45"/>
      <c r="E47" s="45"/>
      <c r="F47" s="39"/>
    </row>
    <row r="48" spans="1:12" x14ac:dyDescent="0.2">
      <c r="C48" s="45"/>
      <c r="D48" s="47"/>
      <c r="E48" s="48"/>
      <c r="F48" s="39"/>
    </row>
    <row r="49" spans="1:6" x14ac:dyDescent="0.2">
      <c r="C49" s="40"/>
      <c r="D49" s="45"/>
      <c r="E49" s="45"/>
      <c r="F49" s="39"/>
    </row>
    <row r="50" spans="1:6" x14ac:dyDescent="0.2">
      <c r="C50" s="40"/>
      <c r="D50" s="44"/>
      <c r="E50" s="45"/>
      <c r="F50" s="39"/>
    </row>
    <row r="51" spans="1:6" x14ac:dyDescent="0.2">
      <c r="C51" s="40"/>
      <c r="D51" s="40"/>
      <c r="E51" s="45"/>
      <c r="F51" s="39"/>
    </row>
    <row r="52" spans="1:6" x14ac:dyDescent="0.2">
      <c r="C52" s="40"/>
      <c r="D52" s="45"/>
      <c r="E52" s="45"/>
      <c r="F52" s="39"/>
    </row>
    <row r="53" spans="1:6" x14ac:dyDescent="0.2">
      <c r="C53" s="40"/>
      <c r="D53" s="40"/>
      <c r="E53" s="45"/>
      <c r="F53" s="39"/>
    </row>
    <row r="54" spans="1:6" x14ac:dyDescent="0.2">
      <c r="C54" s="45"/>
      <c r="D54" s="49"/>
      <c r="E54" s="39"/>
    </row>
    <row r="55" spans="1:6" x14ac:dyDescent="0.2">
      <c r="A55" s="52"/>
      <c r="C55" s="41"/>
      <c r="D55" s="51"/>
    </row>
    <row r="56" spans="1:6" x14ac:dyDescent="0.2">
      <c r="A56" s="52"/>
      <c r="C56" s="41"/>
      <c r="D56" s="51"/>
    </row>
  </sheetData>
  <mergeCells count="11">
    <mergeCell ref="A1:J1"/>
    <mergeCell ref="A2:J2"/>
    <mergeCell ref="C27:D27"/>
    <mergeCell ref="A4:A5"/>
    <mergeCell ref="B4:B5"/>
    <mergeCell ref="C4:D5"/>
    <mergeCell ref="E4:J4"/>
    <mergeCell ref="E27:H27"/>
    <mergeCell ref="I5:J5"/>
    <mergeCell ref="E5:F5"/>
    <mergeCell ref="G5:H5"/>
  </mergeCells>
  <printOptions horizontalCentered="1"/>
  <pageMargins left="0.5" right="0.5" top="0.5" bottom="0.5" header="0.3" footer="0.3"/>
  <pageSetup scale="60" orientation="landscape" r:id="rId1"/>
  <headerFooter scaleWithDoc="0">
    <oddFooter>&amp;L&amp;"Arial,Regular"&amp;9Hilcorp Alaska, LLC
Grayling Platform
Title V Renewal Application&amp;C&amp;"Arial,Regular"&amp;9Page D-&amp;P&amp;R&amp;"Arial,Regular"&amp;9December 2022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ECA37-499B-48CE-A19C-9032300C5E89}">
  <dimension ref="A1:V45"/>
  <sheetViews>
    <sheetView view="pageBreakPreview" zoomScaleNormal="100" zoomScaleSheetLayoutView="100" workbookViewId="0">
      <selection activeCell="A19" sqref="A19"/>
    </sheetView>
  </sheetViews>
  <sheetFormatPr defaultColWidth="9.140625" defaultRowHeight="13.5" customHeight="1" x14ac:dyDescent="0.25"/>
  <cols>
    <col min="1" max="1" width="9.28515625" style="31" customWidth="1"/>
    <col min="2" max="2" width="29" style="168" customWidth="1"/>
    <col min="3" max="3" width="9.42578125" style="150" customWidth="1"/>
    <col min="4" max="4" width="10.28515625" style="150" customWidth="1"/>
    <col min="5" max="5" width="9.85546875" style="150" customWidth="1"/>
    <col min="6" max="6" width="8.85546875" style="150" bestFit="1" customWidth="1"/>
    <col min="7" max="7" width="8.7109375" style="150" customWidth="1"/>
    <col min="8" max="8" width="7.140625" style="150" customWidth="1"/>
    <col min="9" max="9" width="9.28515625" style="150" customWidth="1"/>
    <col min="10" max="10" width="8.85546875" style="150" bestFit="1" customWidth="1"/>
    <col min="11" max="11" width="8.42578125" style="150" customWidth="1"/>
    <col min="12" max="12" width="6" style="150" customWidth="1"/>
    <col min="13" max="13" width="8.5703125" style="150" customWidth="1"/>
    <col min="14" max="14" width="8.85546875" style="150" bestFit="1" customWidth="1"/>
    <col min="15" max="15" width="8.7109375" style="150" customWidth="1"/>
    <col min="16" max="16" width="5.7109375" style="150" customWidth="1"/>
    <col min="17" max="17" width="8.7109375" style="150" customWidth="1"/>
    <col min="18" max="18" width="5" style="150" customWidth="1"/>
    <col min="19" max="19" width="8.7109375" style="150" customWidth="1"/>
    <col min="20" max="20" width="5" style="150" customWidth="1"/>
    <col min="21" max="21" width="8.7109375" style="150" customWidth="1"/>
    <col min="22" max="22" width="5" style="150" customWidth="1"/>
    <col min="23" max="16384" width="9.140625" style="150"/>
  </cols>
  <sheetData>
    <row r="1" spans="1:22" ht="17.100000000000001" customHeight="1" x14ac:dyDescent="0.25">
      <c r="A1" s="473" t="s">
        <v>199</v>
      </c>
      <c r="B1" s="473"/>
      <c r="C1" s="473"/>
      <c r="D1" s="473"/>
      <c r="E1" s="473"/>
      <c r="F1" s="473"/>
      <c r="G1" s="473"/>
      <c r="H1" s="473"/>
      <c r="I1" s="473"/>
      <c r="J1" s="473"/>
      <c r="K1" s="473"/>
      <c r="L1" s="473"/>
      <c r="M1" s="473"/>
      <c r="N1" s="473"/>
      <c r="O1" s="473"/>
      <c r="P1" s="473"/>
      <c r="Q1" s="473"/>
      <c r="R1" s="473"/>
      <c r="S1" s="473"/>
      <c r="T1" s="473"/>
      <c r="U1" s="473"/>
      <c r="V1" s="473"/>
    </row>
    <row r="2" spans="1:22" ht="17.100000000000001" customHeight="1" x14ac:dyDescent="0.25">
      <c r="A2" s="473" t="str">
        <f>Inventory!A2</f>
        <v>Hilcorp Alaska, LLC - Grayling Platform</v>
      </c>
      <c r="B2" s="473"/>
      <c r="C2" s="473"/>
      <c r="D2" s="473"/>
      <c r="E2" s="473"/>
      <c r="F2" s="473"/>
      <c r="G2" s="473"/>
      <c r="H2" s="473"/>
      <c r="I2" s="473"/>
      <c r="J2" s="473"/>
      <c r="K2" s="473"/>
      <c r="L2" s="473"/>
      <c r="M2" s="473"/>
      <c r="N2" s="473"/>
      <c r="O2" s="473"/>
      <c r="P2" s="473"/>
      <c r="Q2" s="473"/>
      <c r="R2" s="473"/>
      <c r="S2" s="473"/>
      <c r="T2" s="473"/>
      <c r="U2" s="473"/>
      <c r="V2" s="473"/>
    </row>
    <row r="3" spans="1:22" ht="17.100000000000001" customHeight="1" thickBot="1" x14ac:dyDescent="0.3">
      <c r="A3" s="53"/>
      <c r="B3" s="54"/>
      <c r="C3" s="38"/>
      <c r="D3" s="38"/>
      <c r="E3" s="38"/>
      <c r="F3" s="38"/>
      <c r="G3" s="38"/>
      <c r="H3" s="38"/>
      <c r="I3" s="38"/>
      <c r="J3" s="38"/>
      <c r="K3" s="38"/>
      <c r="L3" s="38"/>
      <c r="M3" s="38"/>
      <c r="N3" s="38"/>
    </row>
    <row r="4" spans="1:22" ht="17.100000000000001" customHeight="1" x14ac:dyDescent="0.25">
      <c r="A4" s="518" t="s">
        <v>45</v>
      </c>
      <c r="B4" s="520" t="s">
        <v>28</v>
      </c>
      <c r="C4" s="520" t="s">
        <v>174</v>
      </c>
      <c r="D4" s="627"/>
      <c r="E4" s="629" t="s">
        <v>229</v>
      </c>
      <c r="F4" s="515"/>
      <c r="G4" s="515"/>
      <c r="H4" s="515"/>
      <c r="I4" s="515"/>
      <c r="J4" s="623"/>
      <c r="K4" s="629" t="s">
        <v>159</v>
      </c>
      <c r="L4" s="515"/>
      <c r="M4" s="515"/>
      <c r="N4" s="515"/>
      <c r="O4" s="515"/>
      <c r="P4" s="623"/>
      <c r="Q4" s="629" t="s">
        <v>177</v>
      </c>
      <c r="R4" s="515"/>
      <c r="S4" s="515"/>
      <c r="T4" s="515"/>
      <c r="U4" s="515"/>
      <c r="V4" s="623"/>
    </row>
    <row r="5" spans="1:22" s="53" customFormat="1" ht="17.100000000000001" customHeight="1" thickBot="1" x14ac:dyDescent="0.3">
      <c r="A5" s="519"/>
      <c r="B5" s="521"/>
      <c r="C5" s="521"/>
      <c r="D5" s="628"/>
      <c r="E5" s="519" t="s">
        <v>136</v>
      </c>
      <c r="F5" s="521"/>
      <c r="G5" s="521" t="s">
        <v>138</v>
      </c>
      <c r="H5" s="521"/>
      <c r="I5" s="521" t="s">
        <v>139</v>
      </c>
      <c r="J5" s="628"/>
      <c r="K5" s="519" t="s">
        <v>136</v>
      </c>
      <c r="L5" s="521"/>
      <c r="M5" s="521" t="s">
        <v>138</v>
      </c>
      <c r="N5" s="521"/>
      <c r="O5" s="521" t="s">
        <v>139</v>
      </c>
      <c r="P5" s="628"/>
      <c r="Q5" s="630" t="s">
        <v>136</v>
      </c>
      <c r="R5" s="521"/>
      <c r="S5" s="521" t="s">
        <v>138</v>
      </c>
      <c r="T5" s="521"/>
      <c r="U5" s="521" t="s">
        <v>139</v>
      </c>
      <c r="V5" s="628"/>
    </row>
    <row r="6" spans="1:22" ht="17.100000000000001" customHeight="1" thickTop="1" x14ac:dyDescent="0.25">
      <c r="A6" s="156">
        <v>75070</v>
      </c>
      <c r="B6" s="157" t="s">
        <v>29</v>
      </c>
      <c r="C6" s="158">
        <v>7.67E-4</v>
      </c>
      <c r="D6" s="26" t="s">
        <v>20</v>
      </c>
      <c r="E6" s="256">
        <f t="shared" ref="E6:E13" si="0">$C6*$E$19/2000</f>
        <v>2.7381899999999997E-3</v>
      </c>
      <c r="F6" s="9" t="s">
        <v>24</v>
      </c>
      <c r="G6" s="159">
        <f t="shared" ref="G6:G13" si="1">$C6*$E$20/2000</f>
        <v>2.013375E-3</v>
      </c>
      <c r="H6" s="9" t="s">
        <v>24</v>
      </c>
      <c r="I6" s="159">
        <f t="shared" ref="I6:I13" si="2">$C6*$E$21/2000</f>
        <v>6.8454749999999993E-4</v>
      </c>
      <c r="J6" s="26" t="s">
        <v>24</v>
      </c>
      <c r="K6" s="256">
        <f t="shared" ref="K6:K13" si="3">$C6*$I$19/2000</f>
        <v>7.995514799999999E-3</v>
      </c>
      <c r="L6" s="9" t="s">
        <v>24</v>
      </c>
      <c r="M6" s="257">
        <f t="shared" ref="M6:M13" si="4">$C6*$I$20/2000</f>
        <v>5.8790550000000002E-3</v>
      </c>
      <c r="N6" s="258" t="s">
        <v>24</v>
      </c>
      <c r="O6" s="159">
        <f t="shared" ref="O6:O13" si="5">$C6*$I$21/2000</f>
        <v>1.9988786999999997E-3</v>
      </c>
      <c r="P6" s="26" t="s">
        <v>24</v>
      </c>
      <c r="Q6" s="259">
        <f t="shared" ref="Q6:Q13" si="6">$C6*$M$19/2000</f>
        <v>1.4056042E-4</v>
      </c>
      <c r="R6" s="9" t="s">
        <v>24</v>
      </c>
      <c r="S6" s="159">
        <f t="shared" ref="S6:S13" si="7">$C6*$M$20/2000</f>
        <v>3.4227374999999997E-4</v>
      </c>
      <c r="T6" s="9" t="s">
        <v>24</v>
      </c>
      <c r="U6" s="159">
        <f t="shared" ref="U6:U13" si="8">$C6*$M$21/2000</f>
        <v>4.4495587499999994E-6</v>
      </c>
      <c r="V6" s="26" t="s">
        <v>24</v>
      </c>
    </row>
    <row r="7" spans="1:22" ht="17.100000000000001" customHeight="1" x14ac:dyDescent="0.25">
      <c r="A7" s="160">
        <v>107028</v>
      </c>
      <c r="B7" s="161" t="s">
        <v>30</v>
      </c>
      <c r="C7" s="162">
        <v>9.2499999999999999E-5</v>
      </c>
      <c r="D7" s="26" t="s">
        <v>20</v>
      </c>
      <c r="E7" s="256">
        <f t="shared" si="0"/>
        <v>3.3022500000000002E-4</v>
      </c>
      <c r="F7" s="9" t="s">
        <v>24</v>
      </c>
      <c r="G7" s="159">
        <f t="shared" si="1"/>
        <v>2.428125E-4</v>
      </c>
      <c r="H7" s="9" t="s">
        <v>24</v>
      </c>
      <c r="I7" s="159">
        <f t="shared" si="2"/>
        <v>8.2556250000000004E-5</v>
      </c>
      <c r="J7" s="26" t="s">
        <v>24</v>
      </c>
      <c r="K7" s="256">
        <f t="shared" si="3"/>
        <v>9.6425699999999994E-4</v>
      </c>
      <c r="L7" s="9" t="s">
        <v>24</v>
      </c>
      <c r="M7" s="257">
        <f t="shared" si="4"/>
        <v>7.0901249999999992E-4</v>
      </c>
      <c r="N7" s="258" t="s">
        <v>24</v>
      </c>
      <c r="O7" s="159">
        <f t="shared" si="5"/>
        <v>2.4106424999999998E-4</v>
      </c>
      <c r="P7" s="26" t="s">
        <v>24</v>
      </c>
      <c r="Q7" s="259">
        <f t="shared" si="6"/>
        <v>1.6951549999999999E-5</v>
      </c>
      <c r="R7" s="9" t="s">
        <v>24</v>
      </c>
      <c r="S7" s="159">
        <f t="shared" si="7"/>
        <v>4.1278125000000002E-5</v>
      </c>
      <c r="T7" s="9" t="s">
        <v>24</v>
      </c>
      <c r="U7" s="159">
        <f t="shared" si="8"/>
        <v>5.366156249999999E-7</v>
      </c>
      <c r="V7" s="26" t="s">
        <v>24</v>
      </c>
    </row>
    <row r="8" spans="1:22" ht="17.100000000000001" customHeight="1" x14ac:dyDescent="0.25">
      <c r="A8" s="123">
        <v>71432</v>
      </c>
      <c r="B8" s="163" t="s">
        <v>26</v>
      </c>
      <c r="C8" s="105">
        <v>9.3300000000000002E-4</v>
      </c>
      <c r="D8" s="26" t="s">
        <v>20</v>
      </c>
      <c r="E8" s="256">
        <f t="shared" si="0"/>
        <v>3.33081E-3</v>
      </c>
      <c r="F8" s="9" t="s">
        <v>24</v>
      </c>
      <c r="G8" s="159">
        <f t="shared" si="1"/>
        <v>2.4491249999999999E-3</v>
      </c>
      <c r="H8" s="9" t="s">
        <v>24</v>
      </c>
      <c r="I8" s="159">
        <f t="shared" si="2"/>
        <v>8.3270250000000001E-4</v>
      </c>
      <c r="J8" s="26" t="s">
        <v>24</v>
      </c>
      <c r="K8" s="256">
        <f t="shared" si="3"/>
        <v>9.7259651999999988E-3</v>
      </c>
      <c r="L8" s="9" t="s">
        <v>24</v>
      </c>
      <c r="M8" s="257">
        <f t="shared" si="4"/>
        <v>7.1514450000000002E-3</v>
      </c>
      <c r="N8" s="258" t="s">
        <v>24</v>
      </c>
      <c r="O8" s="159">
        <f t="shared" si="5"/>
        <v>2.4314912999999997E-3</v>
      </c>
      <c r="P8" s="26" t="s">
        <v>24</v>
      </c>
      <c r="Q8" s="259">
        <f t="shared" si="6"/>
        <v>1.7098157999999999E-4</v>
      </c>
      <c r="R8" s="9" t="s">
        <v>24</v>
      </c>
      <c r="S8" s="159">
        <f t="shared" si="7"/>
        <v>4.1635125E-4</v>
      </c>
      <c r="T8" s="9" t="s">
        <v>24</v>
      </c>
      <c r="U8" s="159">
        <f t="shared" si="8"/>
        <v>5.4125662499999998E-6</v>
      </c>
      <c r="V8" s="26" t="s">
        <v>24</v>
      </c>
    </row>
    <row r="9" spans="1:22" ht="17.100000000000001" customHeight="1" x14ac:dyDescent="0.25">
      <c r="A9" s="160">
        <v>106990</v>
      </c>
      <c r="B9" s="163" t="s">
        <v>31</v>
      </c>
      <c r="C9" s="162">
        <v>3.9100000000000002E-5</v>
      </c>
      <c r="D9" s="26" t="s">
        <v>20</v>
      </c>
      <c r="E9" s="256">
        <f t="shared" si="0"/>
        <v>1.3958700000000002E-4</v>
      </c>
      <c r="F9" s="9" t="s">
        <v>24</v>
      </c>
      <c r="G9" s="159">
        <f t="shared" si="1"/>
        <v>1.0263750000000001E-4</v>
      </c>
      <c r="H9" s="9" t="s">
        <v>24</v>
      </c>
      <c r="I9" s="159">
        <f t="shared" si="2"/>
        <v>3.4896750000000004E-5</v>
      </c>
      <c r="J9" s="26" t="s">
        <v>24</v>
      </c>
      <c r="K9" s="256">
        <f t="shared" si="3"/>
        <v>4.0759404E-4</v>
      </c>
      <c r="L9" s="9" t="s">
        <v>24</v>
      </c>
      <c r="M9" s="257">
        <f t="shared" si="4"/>
        <v>2.9970149999999999E-4</v>
      </c>
      <c r="N9" s="258" t="s">
        <v>24</v>
      </c>
      <c r="O9" s="159">
        <f t="shared" si="5"/>
        <v>1.0189851E-4</v>
      </c>
      <c r="P9" s="26" t="s">
        <v>24</v>
      </c>
      <c r="Q9" s="259">
        <f t="shared" si="6"/>
        <v>7.1654659999999997E-6</v>
      </c>
      <c r="R9" s="9" t="s">
        <v>24</v>
      </c>
      <c r="S9" s="159">
        <f t="shared" si="7"/>
        <v>1.7448375000000002E-5</v>
      </c>
      <c r="T9" s="9" t="s">
        <v>24</v>
      </c>
      <c r="U9" s="159">
        <f t="shared" si="8"/>
        <v>2.26828875E-7</v>
      </c>
      <c r="V9" s="26" t="s">
        <v>24</v>
      </c>
    </row>
    <row r="10" spans="1:22" ht="17.100000000000001" customHeight="1" x14ac:dyDescent="0.25">
      <c r="A10" s="160">
        <v>5000</v>
      </c>
      <c r="B10" s="161" t="s">
        <v>33</v>
      </c>
      <c r="C10" s="105">
        <v>1.1800000000000001E-3</v>
      </c>
      <c r="D10" s="26" t="s">
        <v>20</v>
      </c>
      <c r="E10" s="256">
        <f t="shared" si="0"/>
        <v>4.2126000000000004E-3</v>
      </c>
      <c r="F10" s="9" t="s">
        <v>24</v>
      </c>
      <c r="G10" s="159">
        <f t="shared" si="1"/>
        <v>3.0975E-3</v>
      </c>
      <c r="H10" s="9" t="s">
        <v>24</v>
      </c>
      <c r="I10" s="159">
        <f t="shared" si="2"/>
        <v>1.0531500000000001E-3</v>
      </c>
      <c r="J10" s="26" t="s">
        <v>24</v>
      </c>
      <c r="K10" s="256">
        <f t="shared" si="3"/>
        <v>1.2300792E-2</v>
      </c>
      <c r="L10" s="9" t="s">
        <v>24</v>
      </c>
      <c r="M10" s="257">
        <f t="shared" si="4"/>
        <v>9.044700000000001E-3</v>
      </c>
      <c r="N10" s="258" t="s">
        <v>24</v>
      </c>
      <c r="O10" s="159">
        <f t="shared" si="5"/>
        <v>3.0751979999999999E-3</v>
      </c>
      <c r="P10" s="26" t="s">
        <v>24</v>
      </c>
      <c r="Q10" s="259">
        <f t="shared" si="6"/>
        <v>2.1624679999999999E-4</v>
      </c>
      <c r="R10" s="9" t="s">
        <v>24</v>
      </c>
      <c r="S10" s="159">
        <f t="shared" si="7"/>
        <v>5.2657500000000005E-4</v>
      </c>
      <c r="T10" s="9" t="s">
        <v>24</v>
      </c>
      <c r="U10" s="159">
        <f t="shared" si="8"/>
        <v>6.8454749999999999E-6</v>
      </c>
      <c r="V10" s="26" t="s">
        <v>24</v>
      </c>
    </row>
    <row r="11" spans="1:22" ht="17.100000000000001" customHeight="1" x14ac:dyDescent="0.25">
      <c r="A11" s="160" t="s">
        <v>7</v>
      </c>
      <c r="B11" s="163" t="s">
        <v>34</v>
      </c>
      <c r="C11" s="162">
        <v>1.6799999999999999E-4</v>
      </c>
      <c r="D11" s="26" t="s">
        <v>20</v>
      </c>
      <c r="E11" s="256">
        <f t="shared" si="0"/>
        <v>5.9975999999999996E-4</v>
      </c>
      <c r="F11" s="9" t="s">
        <v>24</v>
      </c>
      <c r="G11" s="159">
        <f t="shared" si="1"/>
        <v>4.4099999999999999E-4</v>
      </c>
      <c r="H11" s="9" t="s">
        <v>24</v>
      </c>
      <c r="I11" s="159">
        <f t="shared" si="2"/>
        <v>1.4993999999999999E-4</v>
      </c>
      <c r="J11" s="26" t="s">
        <v>24</v>
      </c>
      <c r="K11" s="256">
        <f t="shared" si="3"/>
        <v>1.7512991999999998E-3</v>
      </c>
      <c r="L11" s="9" t="s">
        <v>24</v>
      </c>
      <c r="M11" s="257">
        <f t="shared" si="4"/>
        <v>1.28772E-3</v>
      </c>
      <c r="N11" s="258" t="s">
        <v>24</v>
      </c>
      <c r="O11" s="159">
        <f t="shared" si="5"/>
        <v>4.3782479999999996E-4</v>
      </c>
      <c r="P11" s="26" t="s">
        <v>24</v>
      </c>
      <c r="Q11" s="259">
        <f t="shared" si="6"/>
        <v>3.0787679999999995E-5</v>
      </c>
      <c r="R11" s="9" t="s">
        <v>24</v>
      </c>
      <c r="S11" s="159">
        <f t="shared" si="7"/>
        <v>7.4969999999999995E-5</v>
      </c>
      <c r="T11" s="9" t="s">
        <v>24</v>
      </c>
      <c r="U11" s="159">
        <f t="shared" si="8"/>
        <v>9.746099999999998E-7</v>
      </c>
      <c r="V11" s="26" t="s">
        <v>24</v>
      </c>
    </row>
    <row r="12" spans="1:22" ht="17.100000000000001" customHeight="1" x14ac:dyDescent="0.25">
      <c r="A12" s="160">
        <v>108883</v>
      </c>
      <c r="B12" s="163" t="s">
        <v>35</v>
      </c>
      <c r="C12" s="105">
        <v>4.0900000000000002E-4</v>
      </c>
      <c r="D12" s="26" t="s">
        <v>20</v>
      </c>
      <c r="E12" s="256">
        <f t="shared" si="0"/>
        <v>1.4601300000000002E-3</v>
      </c>
      <c r="F12" s="9" t="s">
        <v>24</v>
      </c>
      <c r="G12" s="159">
        <f t="shared" si="1"/>
        <v>1.0736250000000001E-3</v>
      </c>
      <c r="H12" s="9" t="s">
        <v>24</v>
      </c>
      <c r="I12" s="159">
        <f t="shared" si="2"/>
        <v>3.6503250000000006E-4</v>
      </c>
      <c r="J12" s="26" t="s">
        <v>24</v>
      </c>
      <c r="K12" s="256">
        <f t="shared" si="3"/>
        <v>4.2635796000000002E-3</v>
      </c>
      <c r="L12" s="9" t="s">
        <v>24</v>
      </c>
      <c r="M12" s="257">
        <f t="shared" si="4"/>
        <v>3.1349850000000003E-3</v>
      </c>
      <c r="N12" s="258" t="s">
        <v>24</v>
      </c>
      <c r="O12" s="159">
        <f t="shared" si="5"/>
        <v>1.0658949E-3</v>
      </c>
      <c r="P12" s="26" t="s">
        <v>24</v>
      </c>
      <c r="Q12" s="259">
        <f t="shared" si="6"/>
        <v>7.4953339999999995E-5</v>
      </c>
      <c r="R12" s="9" t="s">
        <v>24</v>
      </c>
      <c r="S12" s="159">
        <f t="shared" si="7"/>
        <v>1.8251625000000003E-4</v>
      </c>
      <c r="T12" s="9" t="s">
        <v>24</v>
      </c>
      <c r="U12" s="159">
        <f t="shared" si="8"/>
        <v>2.3727112499999997E-6</v>
      </c>
      <c r="V12" s="26" t="s">
        <v>24</v>
      </c>
    </row>
    <row r="13" spans="1:22" ht="17.100000000000001" customHeight="1" thickBot="1" x14ac:dyDescent="0.3">
      <c r="A13" s="185">
        <v>106423</v>
      </c>
      <c r="B13" s="186" t="s">
        <v>37</v>
      </c>
      <c r="C13" s="100">
        <v>2.8499999999999999E-4</v>
      </c>
      <c r="D13" s="83" t="s">
        <v>20</v>
      </c>
      <c r="E13" s="260">
        <f t="shared" si="0"/>
        <v>1.01745E-3</v>
      </c>
      <c r="F13" s="91" t="s">
        <v>24</v>
      </c>
      <c r="G13" s="187">
        <f t="shared" si="1"/>
        <v>7.4812499999999988E-4</v>
      </c>
      <c r="H13" s="91" t="s">
        <v>24</v>
      </c>
      <c r="I13" s="187">
        <f t="shared" si="2"/>
        <v>2.5436250000000001E-4</v>
      </c>
      <c r="J13" s="83" t="s">
        <v>24</v>
      </c>
      <c r="K13" s="260">
        <f t="shared" si="3"/>
        <v>2.970954E-3</v>
      </c>
      <c r="L13" s="91" t="s">
        <v>24</v>
      </c>
      <c r="M13" s="261">
        <f t="shared" si="4"/>
        <v>2.1845249999999997E-3</v>
      </c>
      <c r="N13" s="262" t="s">
        <v>24</v>
      </c>
      <c r="O13" s="187">
        <f t="shared" si="5"/>
        <v>7.4273850000000001E-4</v>
      </c>
      <c r="P13" s="83" t="s">
        <v>24</v>
      </c>
      <c r="Q13" s="263">
        <f t="shared" si="6"/>
        <v>5.2229099999999991E-5</v>
      </c>
      <c r="R13" s="91" t="s">
        <v>24</v>
      </c>
      <c r="S13" s="187">
        <f t="shared" si="7"/>
        <v>1.2718125E-4</v>
      </c>
      <c r="T13" s="91" t="s">
        <v>24</v>
      </c>
      <c r="U13" s="187">
        <f t="shared" si="8"/>
        <v>1.6533562499999998E-6</v>
      </c>
      <c r="V13" s="83" t="s">
        <v>24</v>
      </c>
    </row>
    <row r="14" spans="1:22" ht="17.100000000000001" customHeight="1" thickBot="1" x14ac:dyDescent="0.3">
      <c r="B14" s="164"/>
      <c r="C14" s="169"/>
      <c r="D14" s="182" t="s">
        <v>23</v>
      </c>
      <c r="E14" s="166">
        <f>SUM(E6:E13)</f>
        <v>1.3828752E-2</v>
      </c>
      <c r="F14" s="167" t="s">
        <v>24</v>
      </c>
      <c r="G14" s="264">
        <f>SUM(G6:G13)</f>
        <v>1.0168200000000001E-2</v>
      </c>
      <c r="H14" s="265" t="s">
        <v>24</v>
      </c>
      <c r="I14" s="264">
        <f>SUM(I6:I13)</f>
        <v>3.4571879999999999E-3</v>
      </c>
      <c r="J14" s="266" t="s">
        <v>24</v>
      </c>
      <c r="K14" s="166">
        <f>SUM(K6:K13)</f>
        <v>4.0379955839999995E-2</v>
      </c>
      <c r="L14" s="167" t="s">
        <v>24</v>
      </c>
      <c r="M14" s="264">
        <f>SUM(M6:M13)</f>
        <v>2.9691143999999999E-2</v>
      </c>
      <c r="N14" s="265" t="s">
        <v>24</v>
      </c>
      <c r="O14" s="264">
        <f>SUM(O6:O13)</f>
        <v>1.0094988959999999E-2</v>
      </c>
      <c r="P14" s="266" t="s">
        <v>24</v>
      </c>
      <c r="Q14" s="267">
        <f>SUM(Q6:Q13)</f>
        <v>7.0987593599999995E-4</v>
      </c>
      <c r="R14" s="265" t="s">
        <v>24</v>
      </c>
      <c r="S14" s="264">
        <f>SUM(S6:S13)</f>
        <v>1.728594E-3</v>
      </c>
      <c r="T14" s="265" t="s">
        <v>24</v>
      </c>
      <c r="U14" s="264">
        <f>SUM(U6:U13)</f>
        <v>2.2471722000000001E-5</v>
      </c>
      <c r="V14" s="266" t="s">
        <v>24</v>
      </c>
    </row>
    <row r="15" spans="1:22" ht="17.100000000000001" customHeight="1" x14ac:dyDescent="0.25">
      <c r="A15" s="449" t="s">
        <v>25</v>
      </c>
      <c r="B15" s="314"/>
      <c r="C15" s="332"/>
      <c r="D15" s="333"/>
      <c r="E15" s="334"/>
      <c r="F15" s="335"/>
      <c r="G15" s="312"/>
      <c r="H15" s="312"/>
      <c r="I15" s="336"/>
      <c r="J15" s="312"/>
      <c r="K15" s="312"/>
      <c r="L15" s="312"/>
      <c r="M15" s="312"/>
      <c r="N15" s="312"/>
      <c r="O15" s="312"/>
      <c r="P15" s="312"/>
    </row>
    <row r="16" spans="1:22" ht="17.100000000000001" customHeight="1" x14ac:dyDescent="0.25">
      <c r="A16" s="313">
        <v>1</v>
      </c>
      <c r="B16" s="337" t="s">
        <v>135</v>
      </c>
      <c r="C16" s="315"/>
      <c r="D16" s="312"/>
      <c r="E16" s="312"/>
      <c r="F16" s="312"/>
      <c r="G16" s="312"/>
      <c r="H16" s="312"/>
      <c r="I16" s="312"/>
      <c r="J16" s="312"/>
      <c r="K16" s="312"/>
      <c r="L16" s="312"/>
      <c r="M16" s="312"/>
      <c r="N16" s="312"/>
      <c r="O16" s="312"/>
      <c r="P16" s="312"/>
    </row>
    <row r="17" spans="1:16" ht="17.100000000000001" customHeight="1" x14ac:dyDescent="0.25">
      <c r="A17" s="313">
        <v>2</v>
      </c>
      <c r="B17" s="315" t="s">
        <v>176</v>
      </c>
      <c r="C17" s="314"/>
      <c r="D17" s="332"/>
      <c r="E17" s="312"/>
      <c r="F17" s="338"/>
      <c r="G17" s="129"/>
      <c r="H17" s="312"/>
      <c r="I17" s="312"/>
      <c r="J17" s="312"/>
      <c r="K17" s="312"/>
      <c r="L17" s="312"/>
      <c r="M17" s="312"/>
      <c r="N17" s="312"/>
      <c r="O17" s="312"/>
      <c r="P17" s="312"/>
    </row>
    <row r="18" spans="1:16" ht="17.100000000000001" customHeight="1" x14ac:dyDescent="0.25">
      <c r="A18" s="314"/>
      <c r="B18" s="331" t="s">
        <v>0</v>
      </c>
      <c r="C18" s="619" t="s">
        <v>2</v>
      </c>
      <c r="D18" s="619"/>
      <c r="E18" s="620" t="s">
        <v>192</v>
      </c>
      <c r="F18" s="620"/>
      <c r="G18" s="620"/>
      <c r="H18" s="620"/>
      <c r="I18" s="620" t="s">
        <v>193</v>
      </c>
      <c r="J18" s="620"/>
      <c r="K18" s="620"/>
      <c r="L18" s="620"/>
      <c r="M18" s="620" t="s">
        <v>175</v>
      </c>
      <c r="N18" s="620"/>
      <c r="O18" s="620"/>
      <c r="P18" s="620"/>
    </row>
    <row r="19" spans="1:16" ht="17.100000000000001" customHeight="1" x14ac:dyDescent="0.25">
      <c r="A19" s="314"/>
      <c r="B19" s="314">
        <f>Inventory!A13</f>
        <v>24</v>
      </c>
      <c r="C19" s="342">
        <f>Inventory!E13</f>
        <v>340</v>
      </c>
      <c r="D19" s="340" t="str">
        <f>Inventory!F13</f>
        <v>hp</v>
      </c>
      <c r="E19" s="343">
        <f>$C19*7000*G19/1000000</f>
        <v>7140</v>
      </c>
      <c r="F19" s="315" t="s">
        <v>121</v>
      </c>
      <c r="G19" s="341">
        <f>Inventory!G13</f>
        <v>3000</v>
      </c>
      <c r="H19" s="341" t="s">
        <v>5</v>
      </c>
      <c r="I19" s="343">
        <f>$C19*7000*K19/1000000</f>
        <v>20848.8</v>
      </c>
      <c r="J19" s="315" t="s">
        <v>137</v>
      </c>
      <c r="K19" s="341">
        <f>Inventory!I13</f>
        <v>8760</v>
      </c>
      <c r="L19" s="341" t="str">
        <f>Inventory!J13</f>
        <v>hr/yr</v>
      </c>
      <c r="M19" s="343">
        <f>$C19*7000*O19/1000000</f>
        <v>366.52</v>
      </c>
      <c r="N19" s="315" t="s">
        <v>121</v>
      </c>
      <c r="O19" s="344">
        <f>Inventory!K13</f>
        <v>154</v>
      </c>
      <c r="P19" s="341" t="str">
        <f>Inventory!L13</f>
        <v>hr/yr</v>
      </c>
    </row>
    <row r="20" spans="1:16" ht="17.100000000000001" customHeight="1" x14ac:dyDescent="0.25">
      <c r="A20" s="314"/>
      <c r="B20" s="314">
        <f>Inventory!A14</f>
        <v>25</v>
      </c>
      <c r="C20" s="342">
        <f>Inventory!E14</f>
        <v>250</v>
      </c>
      <c r="D20" s="340" t="str">
        <f>Inventory!F14</f>
        <v>hp</v>
      </c>
      <c r="E20" s="343">
        <f>$C20*7000*G20/1000000</f>
        <v>5250</v>
      </c>
      <c r="F20" s="315" t="s">
        <v>121</v>
      </c>
      <c r="G20" s="341">
        <f>Inventory!G14</f>
        <v>3000</v>
      </c>
      <c r="H20" s="341" t="s">
        <v>5</v>
      </c>
      <c r="I20" s="343">
        <f>$C20*7000*K20/1000000</f>
        <v>15330</v>
      </c>
      <c r="J20" s="315" t="s">
        <v>137</v>
      </c>
      <c r="K20" s="341">
        <f>Inventory!I14</f>
        <v>8760</v>
      </c>
      <c r="L20" s="341" t="str">
        <f>Inventory!J14</f>
        <v>hr/yr</v>
      </c>
      <c r="M20" s="343">
        <f>$C20*7000*O20/1000000</f>
        <v>892.5</v>
      </c>
      <c r="N20" s="315" t="s">
        <v>121</v>
      </c>
      <c r="O20" s="344">
        <f>Inventory!K14</f>
        <v>510</v>
      </c>
      <c r="P20" s="341" t="str">
        <f>Inventory!L14</f>
        <v>hr/yr</v>
      </c>
    </row>
    <row r="21" spans="1:16" ht="17.100000000000001" customHeight="1" x14ac:dyDescent="0.25">
      <c r="A21" s="314"/>
      <c r="B21" s="314">
        <f>Inventory!A16</f>
        <v>27</v>
      </c>
      <c r="C21" s="342">
        <f>Inventory!E16</f>
        <v>85</v>
      </c>
      <c r="D21" s="340" t="str">
        <f>Inventory!F16</f>
        <v>hp</v>
      </c>
      <c r="E21" s="343">
        <f>$C21*7000*G21/1000000</f>
        <v>1785</v>
      </c>
      <c r="F21" s="315" t="s">
        <v>121</v>
      </c>
      <c r="G21" s="341">
        <f>Inventory!G16</f>
        <v>3000</v>
      </c>
      <c r="H21" s="341" t="s">
        <v>5</v>
      </c>
      <c r="I21" s="343">
        <f>$C21*7000*K21/1000000</f>
        <v>5212.2</v>
      </c>
      <c r="J21" s="315" t="s">
        <v>137</v>
      </c>
      <c r="K21" s="341">
        <f>Inventory!I16</f>
        <v>8760</v>
      </c>
      <c r="L21" s="341" t="str">
        <f>Inventory!J16</f>
        <v>hr/yr</v>
      </c>
      <c r="M21" s="343">
        <f>$C21*7000*O21/1000000</f>
        <v>11.602499999999999</v>
      </c>
      <c r="N21" s="315" t="s">
        <v>121</v>
      </c>
      <c r="O21" s="344">
        <f>Inventory!K16</f>
        <v>19.5</v>
      </c>
      <c r="P21" s="341" t="str">
        <f>Inventory!L16</f>
        <v>hr/yr</v>
      </c>
    </row>
    <row r="22" spans="1:16" ht="17.100000000000001" customHeight="1" x14ac:dyDescent="0.25">
      <c r="A22" s="449" t="s">
        <v>168</v>
      </c>
      <c r="C22" s="340"/>
      <c r="D22" s="338"/>
      <c r="E22" s="129"/>
      <c r="F22" s="341"/>
      <c r="G22" s="341"/>
      <c r="H22" s="338"/>
      <c r="I22" s="129"/>
      <c r="J22" s="341"/>
      <c r="K22" s="341"/>
      <c r="L22" s="338"/>
      <c r="M22" s="129"/>
      <c r="N22" s="341"/>
      <c r="O22" s="341"/>
      <c r="P22" s="312"/>
    </row>
    <row r="23" spans="1:16" ht="17.100000000000001" customHeight="1" x14ac:dyDescent="0.25">
      <c r="A23" s="312"/>
      <c r="B23" s="129" t="s">
        <v>11</v>
      </c>
      <c r="C23" s="342">
        <v>137000</v>
      </c>
      <c r="D23" s="315" t="s">
        <v>12</v>
      </c>
      <c r="E23" s="312"/>
      <c r="F23" s="341"/>
      <c r="G23" s="341"/>
      <c r="H23" s="338"/>
      <c r="I23" s="129"/>
      <c r="J23" s="341"/>
      <c r="K23" s="341"/>
      <c r="L23" s="338"/>
      <c r="M23" s="129"/>
      <c r="N23" s="341"/>
      <c r="O23" s="341"/>
      <c r="P23" s="312"/>
    </row>
    <row r="24" spans="1:16" ht="13.5" customHeight="1" x14ac:dyDescent="0.25">
      <c r="B24" s="164"/>
      <c r="C24" s="170"/>
      <c r="D24" s="170"/>
      <c r="E24" s="171"/>
      <c r="H24" s="172"/>
    </row>
    <row r="25" spans="1:16" ht="13.5" customHeight="1" x14ac:dyDescent="0.25">
      <c r="B25" s="164"/>
      <c r="C25" s="165"/>
      <c r="D25" s="165"/>
      <c r="H25" s="172"/>
    </row>
    <row r="26" spans="1:16" ht="13.5" customHeight="1" x14ac:dyDescent="0.25">
      <c r="C26" s="165"/>
      <c r="D26" s="172"/>
      <c r="H26" s="172"/>
    </row>
    <row r="27" spans="1:16" ht="13.5" customHeight="1" x14ac:dyDescent="0.25">
      <c r="C27" s="165"/>
      <c r="D27" s="164"/>
    </row>
    <row r="28" spans="1:16" ht="13.5" customHeight="1" x14ac:dyDescent="0.25">
      <c r="C28" s="165"/>
      <c r="D28" s="165"/>
      <c r="E28" s="172"/>
      <c r="I28" s="172"/>
    </row>
    <row r="29" spans="1:16" ht="13.5" customHeight="1" x14ac:dyDescent="0.25">
      <c r="C29" s="165"/>
      <c r="E29" s="172"/>
    </row>
    <row r="30" spans="1:16" ht="13.5" customHeight="1" x14ac:dyDescent="0.25">
      <c r="C30" s="165"/>
      <c r="E30" s="165"/>
      <c r="F30" s="172"/>
      <c r="H30" s="172"/>
    </row>
    <row r="31" spans="1:16" ht="13.5" customHeight="1" x14ac:dyDescent="0.25">
      <c r="C31" s="165"/>
      <c r="E31" s="170"/>
      <c r="F31" s="171"/>
      <c r="G31" s="171"/>
    </row>
    <row r="32" spans="1:16" ht="13.5" customHeight="1" x14ac:dyDescent="0.25">
      <c r="C32" s="165"/>
      <c r="E32" s="165"/>
      <c r="F32" s="164"/>
      <c r="G32" s="171"/>
      <c r="H32" s="172"/>
    </row>
    <row r="33" spans="1:8" ht="13.5" customHeight="1" x14ac:dyDescent="0.25">
      <c r="C33" s="165"/>
      <c r="E33" s="170"/>
      <c r="F33" s="170"/>
      <c r="G33" s="171"/>
    </row>
    <row r="34" spans="1:8" ht="13.5" customHeight="1" x14ac:dyDescent="0.25">
      <c r="C34" s="165"/>
      <c r="D34" s="170"/>
      <c r="E34" s="176"/>
      <c r="F34" s="171"/>
      <c r="G34" s="172"/>
    </row>
    <row r="35" spans="1:8" ht="13.5" customHeight="1" x14ac:dyDescent="0.25">
      <c r="C35" s="165"/>
      <c r="D35" s="170"/>
      <c r="E35" s="170"/>
      <c r="F35" s="171"/>
      <c r="G35" s="172"/>
      <c r="H35" s="172"/>
    </row>
    <row r="36" spans="1:8" ht="13.5" customHeight="1" x14ac:dyDescent="0.25">
      <c r="C36" s="165"/>
      <c r="D36" s="170"/>
      <c r="E36" s="170"/>
      <c r="F36" s="171"/>
      <c r="G36" s="172"/>
      <c r="H36" s="172"/>
    </row>
    <row r="37" spans="1:8" ht="13.5" customHeight="1" x14ac:dyDescent="0.25">
      <c r="C37" s="170"/>
      <c r="D37" s="177"/>
      <c r="E37" s="178"/>
      <c r="F37" s="171"/>
      <c r="G37" s="172"/>
      <c r="H37" s="172"/>
    </row>
    <row r="38" spans="1:8" ht="13.5" customHeight="1" x14ac:dyDescent="0.25">
      <c r="C38" s="165"/>
      <c r="D38" s="170"/>
      <c r="E38" s="170"/>
      <c r="F38" s="171"/>
      <c r="G38" s="172"/>
      <c r="H38" s="172"/>
    </row>
    <row r="39" spans="1:8" ht="13.5" customHeight="1" x14ac:dyDescent="0.25">
      <c r="C39" s="165"/>
      <c r="D39" s="164"/>
      <c r="E39" s="170"/>
      <c r="F39" s="171"/>
      <c r="G39" s="172"/>
      <c r="H39" s="172"/>
    </row>
    <row r="40" spans="1:8" ht="13.5" customHeight="1" x14ac:dyDescent="0.25">
      <c r="C40" s="165"/>
      <c r="D40" s="165"/>
      <c r="E40" s="170"/>
      <c r="F40" s="171"/>
      <c r="G40" s="172"/>
      <c r="H40" s="172"/>
    </row>
    <row r="41" spans="1:8" ht="13.5" customHeight="1" x14ac:dyDescent="0.25">
      <c r="C41" s="165"/>
      <c r="D41" s="170"/>
      <c r="E41" s="170"/>
      <c r="F41" s="171"/>
      <c r="G41" s="172"/>
      <c r="H41" s="172"/>
    </row>
    <row r="42" spans="1:8" ht="13.5" customHeight="1" x14ac:dyDescent="0.25">
      <c r="C42" s="165"/>
      <c r="D42" s="165"/>
      <c r="E42" s="170"/>
      <c r="F42" s="171"/>
      <c r="G42" s="172"/>
      <c r="H42" s="172"/>
    </row>
    <row r="43" spans="1:8" ht="13.5" customHeight="1" x14ac:dyDescent="0.25">
      <c r="C43" s="170"/>
      <c r="D43" s="179"/>
      <c r="E43" s="171"/>
    </row>
    <row r="44" spans="1:8" ht="13.5" customHeight="1" x14ac:dyDescent="0.25">
      <c r="A44" s="53"/>
      <c r="C44" s="180"/>
      <c r="D44" s="181"/>
    </row>
    <row r="45" spans="1:8" ht="13.5" customHeight="1" x14ac:dyDescent="0.25">
      <c r="A45" s="53"/>
      <c r="C45" s="180"/>
      <c r="D45" s="181"/>
    </row>
  </sheetData>
  <mergeCells count="21">
    <mergeCell ref="Q4:V4"/>
    <mergeCell ref="A1:V1"/>
    <mergeCell ref="A2:V2"/>
    <mergeCell ref="B4:B5"/>
    <mergeCell ref="A4:A5"/>
    <mergeCell ref="M5:N5"/>
    <mergeCell ref="E5:F5"/>
    <mergeCell ref="G5:H5"/>
    <mergeCell ref="I5:J5"/>
    <mergeCell ref="K5:L5"/>
    <mergeCell ref="O5:P5"/>
    <mergeCell ref="Q5:R5"/>
    <mergeCell ref="S5:T5"/>
    <mergeCell ref="U5:V5"/>
    <mergeCell ref="E18:H18"/>
    <mergeCell ref="C18:D18"/>
    <mergeCell ref="I18:L18"/>
    <mergeCell ref="M18:P18"/>
    <mergeCell ref="C4:D5"/>
    <mergeCell ref="E4:J4"/>
    <mergeCell ref="K4:P4"/>
  </mergeCells>
  <printOptions horizontalCentered="1"/>
  <pageMargins left="0.5" right="0.5" top="0.5" bottom="0.5" header="0.3" footer="0.3"/>
  <pageSetup scale="60" orientation="landscape" r:id="rId1"/>
  <headerFooter scaleWithDoc="0">
    <oddFooter>&amp;L&amp;"Arial,Regular"&amp;9Hilcorp Alaska, LLC
Grayling Platform
Title V Renewal Application&amp;C&amp;"Arial,Regular"&amp;9Page D-&amp;P&amp;R&amp;"Arial,Regular"&amp;9December 2022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F915B-0FF7-44DE-89CF-3E9D122D6FB6}">
  <dimension ref="A1:V42"/>
  <sheetViews>
    <sheetView view="pageBreakPreview" zoomScaleNormal="100" zoomScaleSheetLayoutView="100" workbookViewId="0">
      <selection activeCell="B13" sqref="B13"/>
    </sheetView>
  </sheetViews>
  <sheetFormatPr defaultColWidth="9.140625" defaultRowHeight="15" customHeight="1" x14ac:dyDescent="0.25"/>
  <cols>
    <col min="1" max="1" width="9.28515625" style="31" customWidth="1"/>
    <col min="2" max="2" width="29.28515625" style="168" customWidth="1"/>
    <col min="3" max="3" width="11.28515625" style="150" bestFit="1" customWidth="1"/>
    <col min="4" max="4" width="9.7109375" style="150" customWidth="1"/>
    <col min="5" max="5" width="8.7109375" style="150" customWidth="1"/>
    <col min="6" max="6" width="8.42578125" style="150" customWidth="1"/>
    <col min="7" max="7" width="10.42578125" style="150" customWidth="1"/>
    <col min="8" max="8" width="8.85546875" style="150" bestFit="1" customWidth="1"/>
    <col min="9" max="9" width="9.85546875" style="150" bestFit="1" customWidth="1"/>
    <col min="10" max="10" width="7.28515625" style="150" customWidth="1"/>
    <col min="11" max="11" width="8.85546875" style="150" bestFit="1" customWidth="1"/>
    <col min="12" max="12" width="6.28515625" style="150" bestFit="1" customWidth="1"/>
    <col min="13" max="13" width="9.140625" style="150"/>
    <col min="14" max="14" width="12.85546875" style="150" customWidth="1"/>
    <col min="15" max="15" width="10.28515625" style="150" customWidth="1"/>
    <col min="16" max="16" width="11.5703125" style="150" customWidth="1"/>
    <col min="17" max="16384" width="9.140625" style="150"/>
  </cols>
  <sheetData>
    <row r="1" spans="1:22" ht="17.100000000000001" customHeight="1" x14ac:dyDescent="0.25">
      <c r="A1" s="473" t="s">
        <v>200</v>
      </c>
      <c r="B1" s="473"/>
      <c r="C1" s="473"/>
      <c r="D1" s="473"/>
      <c r="E1" s="473"/>
      <c r="F1" s="473"/>
      <c r="G1" s="473"/>
      <c r="H1" s="473"/>
      <c r="I1" s="473"/>
      <c r="J1" s="473"/>
      <c r="K1" s="473"/>
      <c r="L1" s="473"/>
      <c r="M1" s="38"/>
      <c r="N1" s="38"/>
      <c r="O1" s="38"/>
      <c r="P1" s="38"/>
      <c r="Q1" s="38"/>
      <c r="R1" s="38"/>
      <c r="S1" s="38"/>
      <c r="T1" s="38"/>
      <c r="U1" s="38"/>
      <c r="V1" s="38"/>
    </row>
    <row r="2" spans="1:22" ht="17.100000000000001" customHeight="1" x14ac:dyDescent="0.25">
      <c r="A2" s="473" t="str">
        <f>Inventory!A2</f>
        <v>Hilcorp Alaska, LLC - Grayling Platform</v>
      </c>
      <c r="B2" s="473"/>
      <c r="C2" s="473"/>
      <c r="D2" s="473"/>
      <c r="E2" s="473"/>
      <c r="F2" s="473"/>
      <c r="G2" s="473"/>
      <c r="H2" s="473"/>
      <c r="I2" s="473"/>
      <c r="J2" s="473"/>
      <c r="K2" s="473"/>
      <c r="L2" s="473"/>
      <c r="M2" s="38"/>
      <c r="N2" s="38"/>
      <c r="O2" s="38"/>
      <c r="P2" s="38"/>
      <c r="Q2" s="38"/>
      <c r="R2" s="38"/>
      <c r="S2" s="38"/>
      <c r="T2" s="38"/>
      <c r="U2" s="38"/>
      <c r="V2" s="38"/>
    </row>
    <row r="3" spans="1:22" ht="17.100000000000001" customHeight="1" thickBot="1" x14ac:dyDescent="0.3">
      <c r="A3" s="53"/>
      <c r="B3" s="54"/>
      <c r="C3" s="38"/>
      <c r="D3" s="38"/>
      <c r="E3" s="38"/>
      <c r="F3" s="38"/>
      <c r="G3" s="38"/>
      <c r="H3" s="38"/>
      <c r="I3" s="38"/>
      <c r="J3" s="38"/>
      <c r="K3" s="38"/>
      <c r="L3" s="38"/>
      <c r="M3" s="38"/>
      <c r="N3" s="38"/>
    </row>
    <row r="4" spans="1:22" ht="30.95" customHeight="1" x14ac:dyDescent="0.25">
      <c r="A4" s="518" t="s">
        <v>45</v>
      </c>
      <c r="B4" s="520" t="s">
        <v>28</v>
      </c>
      <c r="C4" s="520" t="s">
        <v>174</v>
      </c>
      <c r="D4" s="631"/>
      <c r="E4" s="616" t="s">
        <v>229</v>
      </c>
      <c r="F4" s="616"/>
      <c r="G4" s="616" t="s">
        <v>159</v>
      </c>
      <c r="H4" s="616"/>
      <c r="I4" s="616" t="s">
        <v>177</v>
      </c>
      <c r="J4" s="617"/>
    </row>
    <row r="5" spans="1:22" s="53" customFormat="1" ht="17.100000000000001" customHeight="1" thickBot="1" x14ac:dyDescent="0.3">
      <c r="A5" s="519"/>
      <c r="B5" s="521"/>
      <c r="C5" s="521"/>
      <c r="D5" s="632"/>
      <c r="E5" s="621" t="s">
        <v>149</v>
      </c>
      <c r="F5" s="633"/>
      <c r="G5" s="633"/>
      <c r="H5" s="633"/>
      <c r="I5" s="633"/>
      <c r="J5" s="634"/>
    </row>
    <row r="6" spans="1:22" ht="17.100000000000001" customHeight="1" thickTop="1" x14ac:dyDescent="0.25">
      <c r="A6" s="156">
        <v>75070</v>
      </c>
      <c r="B6" s="157" t="s">
        <v>29</v>
      </c>
      <c r="C6" s="158">
        <v>2.5199999999999999E-5</v>
      </c>
      <c r="D6" s="9" t="s">
        <v>20</v>
      </c>
      <c r="E6" s="159">
        <f t="shared" ref="E6:E12" si="0">$C6*$D$18/2000</f>
        <v>3.0208500000000001E-5</v>
      </c>
      <c r="F6" s="9" t="s">
        <v>24</v>
      </c>
      <c r="G6" s="159">
        <f t="shared" ref="G6:G12" si="1">$C6*$G$18/2000</f>
        <v>5.2925291999999992E-4</v>
      </c>
      <c r="H6" s="9" t="s">
        <v>24</v>
      </c>
      <c r="I6" s="159">
        <f t="shared" ref="I6:I12" si="2">$C6*$J$18/2000</f>
        <v>6.0416999999999991E-8</v>
      </c>
      <c r="J6" s="26" t="s">
        <v>24</v>
      </c>
    </row>
    <row r="7" spans="1:22" ht="17.100000000000001" customHeight="1" x14ac:dyDescent="0.25">
      <c r="A7" s="160">
        <v>107028</v>
      </c>
      <c r="B7" s="161" t="s">
        <v>30</v>
      </c>
      <c r="C7" s="162">
        <v>7.8800000000000008E-6</v>
      </c>
      <c r="D7" s="9" t="s">
        <v>20</v>
      </c>
      <c r="E7" s="159">
        <f t="shared" si="0"/>
        <v>9.446150000000001E-6</v>
      </c>
      <c r="F7" s="9" t="s">
        <v>24</v>
      </c>
      <c r="G7" s="159">
        <f t="shared" si="1"/>
        <v>1.6549654799999998E-4</v>
      </c>
      <c r="H7" s="9" t="s">
        <v>24</v>
      </c>
      <c r="I7" s="159">
        <f t="shared" si="2"/>
        <v>1.8892300000000001E-8</v>
      </c>
      <c r="J7" s="26" t="s">
        <v>24</v>
      </c>
    </row>
    <row r="8" spans="1:22" ht="17.100000000000001" customHeight="1" x14ac:dyDescent="0.25">
      <c r="A8" s="123">
        <v>71432</v>
      </c>
      <c r="B8" s="163" t="s">
        <v>26</v>
      </c>
      <c r="C8" s="105">
        <v>7.76E-4</v>
      </c>
      <c r="D8" s="9" t="s">
        <v>20</v>
      </c>
      <c r="E8" s="159">
        <f t="shared" si="0"/>
        <v>9.3022999999999999E-4</v>
      </c>
      <c r="F8" s="9" t="s">
        <v>24</v>
      </c>
      <c r="G8" s="159">
        <f t="shared" si="1"/>
        <v>1.6297629600000002E-2</v>
      </c>
      <c r="H8" s="9" t="s">
        <v>24</v>
      </c>
      <c r="I8" s="159">
        <f t="shared" si="2"/>
        <v>1.86046E-6</v>
      </c>
      <c r="J8" s="26" t="s">
        <v>24</v>
      </c>
    </row>
    <row r="9" spans="1:22" ht="17.100000000000001" customHeight="1" x14ac:dyDescent="0.25">
      <c r="A9" s="160">
        <v>5000</v>
      </c>
      <c r="B9" s="161" t="s">
        <v>33</v>
      </c>
      <c r="C9" s="105">
        <v>7.8899999999999993E-5</v>
      </c>
      <c r="D9" s="9" t="s">
        <v>20</v>
      </c>
      <c r="E9" s="159">
        <f t="shared" si="0"/>
        <v>9.4581375E-5</v>
      </c>
      <c r="F9" s="9" t="s">
        <v>24</v>
      </c>
      <c r="G9" s="159">
        <f t="shared" si="1"/>
        <v>1.6570656899999997E-3</v>
      </c>
      <c r="H9" s="9" t="s">
        <v>24</v>
      </c>
      <c r="I9" s="159">
        <f t="shared" si="2"/>
        <v>1.8916274999999998E-7</v>
      </c>
      <c r="J9" s="26" t="s">
        <v>24</v>
      </c>
    </row>
    <row r="10" spans="1:22" ht="17.100000000000001" customHeight="1" x14ac:dyDescent="0.25">
      <c r="A10" s="160" t="s">
        <v>7</v>
      </c>
      <c r="B10" s="163" t="s">
        <v>34</v>
      </c>
      <c r="C10" s="162">
        <v>2.11533E-4</v>
      </c>
      <c r="D10" s="9" t="s">
        <v>20</v>
      </c>
      <c r="E10" s="159">
        <f t="shared" si="0"/>
        <v>2.5357518374999999E-4</v>
      </c>
      <c r="F10" s="9" t="s">
        <v>24</v>
      </c>
      <c r="G10" s="159">
        <f t="shared" si="1"/>
        <v>4.4426372193000002E-3</v>
      </c>
      <c r="H10" s="9" t="s">
        <v>24</v>
      </c>
      <c r="I10" s="159">
        <f t="shared" si="2"/>
        <v>5.0715036749999999E-7</v>
      </c>
      <c r="J10" s="26" t="s">
        <v>24</v>
      </c>
    </row>
    <row r="11" spans="1:22" ht="17.100000000000001" customHeight="1" x14ac:dyDescent="0.25">
      <c r="A11" s="160">
        <v>108883</v>
      </c>
      <c r="B11" s="163" t="s">
        <v>35</v>
      </c>
      <c r="C11" s="105">
        <v>2.81E-4</v>
      </c>
      <c r="D11" s="9" t="s">
        <v>20</v>
      </c>
      <c r="E11" s="159">
        <f t="shared" si="0"/>
        <v>3.3684874999999998E-4</v>
      </c>
      <c r="F11" s="9" t="s">
        <v>24</v>
      </c>
      <c r="G11" s="159">
        <f t="shared" si="1"/>
        <v>5.9015900999999996E-3</v>
      </c>
      <c r="H11" s="9" t="s">
        <v>24</v>
      </c>
      <c r="I11" s="159">
        <f t="shared" si="2"/>
        <v>6.7369749999999994E-7</v>
      </c>
      <c r="J11" s="26" t="s">
        <v>24</v>
      </c>
    </row>
    <row r="12" spans="1:22" ht="17.100000000000001" customHeight="1" thickBot="1" x14ac:dyDescent="0.3">
      <c r="A12" s="185">
        <v>106423</v>
      </c>
      <c r="B12" s="186" t="s">
        <v>37</v>
      </c>
      <c r="C12" s="100">
        <v>1.93E-4</v>
      </c>
      <c r="D12" s="91" t="s">
        <v>20</v>
      </c>
      <c r="E12" s="187">
        <f t="shared" si="0"/>
        <v>2.3135875000000001E-4</v>
      </c>
      <c r="F12" s="91" t="s">
        <v>24</v>
      </c>
      <c r="G12" s="187">
        <f t="shared" si="1"/>
        <v>4.0534053E-3</v>
      </c>
      <c r="H12" s="91" t="s">
        <v>24</v>
      </c>
      <c r="I12" s="187">
        <f t="shared" si="2"/>
        <v>4.6271749999999999E-7</v>
      </c>
      <c r="J12" s="83" t="s">
        <v>24</v>
      </c>
    </row>
    <row r="13" spans="1:22" ht="17.100000000000001" customHeight="1" thickBot="1" x14ac:dyDescent="0.3">
      <c r="B13" s="164"/>
      <c r="C13" s="165"/>
      <c r="D13" s="182" t="s">
        <v>23</v>
      </c>
      <c r="E13" s="183">
        <f>SUM(E6:E12)</f>
        <v>1.8862487087500002E-3</v>
      </c>
      <c r="F13" s="107" t="s">
        <v>24</v>
      </c>
      <c r="G13" s="184">
        <f>SUM(G6:G12)</f>
        <v>3.3047077377300005E-2</v>
      </c>
      <c r="H13" s="107" t="s">
        <v>24</v>
      </c>
      <c r="I13" s="184">
        <f>SUM(I6:I12)</f>
        <v>3.7724974175000003E-6</v>
      </c>
      <c r="J13" s="102" t="s">
        <v>24</v>
      </c>
    </row>
    <row r="14" spans="1:22" ht="17.100000000000001" customHeight="1" x14ac:dyDescent="0.25">
      <c r="A14" s="449" t="s">
        <v>25</v>
      </c>
      <c r="B14" s="315"/>
      <c r="C14" s="314"/>
      <c r="D14" s="332"/>
      <c r="E14" s="333"/>
      <c r="F14" s="334"/>
      <c r="G14" s="335"/>
      <c r="H14" s="312"/>
      <c r="I14" s="312"/>
      <c r="J14" s="336"/>
      <c r="K14" s="312"/>
      <c r="L14" s="312"/>
    </row>
    <row r="15" spans="1:22" ht="17.100000000000001" customHeight="1" x14ac:dyDescent="0.25">
      <c r="A15" s="313">
        <v>1</v>
      </c>
      <c r="B15" s="337" t="s">
        <v>180</v>
      </c>
      <c r="C15" s="314"/>
      <c r="D15" s="332"/>
      <c r="E15" s="333"/>
      <c r="F15" s="334"/>
      <c r="G15" s="335"/>
      <c r="H15" s="312"/>
      <c r="I15" s="312"/>
      <c r="J15" s="336"/>
      <c r="K15" s="312"/>
      <c r="L15" s="312"/>
    </row>
    <row r="16" spans="1:22" ht="17.100000000000001" customHeight="1" x14ac:dyDescent="0.25">
      <c r="A16" s="313">
        <v>2</v>
      </c>
      <c r="B16" s="315" t="s">
        <v>176</v>
      </c>
      <c r="C16" s="314"/>
      <c r="D16" s="332"/>
      <c r="E16" s="312"/>
      <c r="F16" s="338"/>
      <c r="G16" s="129"/>
      <c r="H16" s="312"/>
      <c r="I16" s="312"/>
      <c r="J16" s="312"/>
      <c r="K16" s="312"/>
      <c r="L16" s="312"/>
    </row>
    <row r="17" spans="1:16" ht="17.100000000000001" customHeight="1" x14ac:dyDescent="0.25">
      <c r="A17" s="314"/>
      <c r="B17" s="331" t="s">
        <v>0</v>
      </c>
      <c r="C17" s="359" t="s">
        <v>2</v>
      </c>
      <c r="D17" s="620" t="s">
        <v>192</v>
      </c>
      <c r="E17" s="620"/>
      <c r="F17" s="620"/>
      <c r="G17" s="620" t="s">
        <v>193</v>
      </c>
      <c r="H17" s="620"/>
      <c r="I17" s="620"/>
      <c r="J17" s="618" t="s">
        <v>175</v>
      </c>
      <c r="K17" s="618"/>
      <c r="L17" s="618"/>
      <c r="M17" s="165"/>
      <c r="N17" s="169"/>
      <c r="O17" s="173"/>
      <c r="P17" s="173"/>
    </row>
    <row r="18" spans="1:16" ht="17.100000000000001" customHeight="1" x14ac:dyDescent="0.25">
      <c r="A18" s="314"/>
      <c r="B18" s="314" t="str">
        <f>Inventory!A15</f>
        <v>26a</v>
      </c>
      <c r="C18" s="358" t="s">
        <v>181</v>
      </c>
      <c r="D18" s="343">
        <f>685*7000*500/1000000</f>
        <v>2397.5</v>
      </c>
      <c r="E18" s="315" t="s">
        <v>121</v>
      </c>
      <c r="F18" s="341" t="s">
        <v>182</v>
      </c>
      <c r="G18" s="343">
        <f>685*7000*8760/1000000</f>
        <v>42004.2</v>
      </c>
      <c r="H18" s="315" t="s">
        <v>121</v>
      </c>
      <c r="I18" s="341" t="s">
        <v>183</v>
      </c>
      <c r="J18" s="343">
        <f>685*7000*1/1000000</f>
        <v>4.7949999999999999</v>
      </c>
      <c r="K18" s="315" t="s">
        <v>121</v>
      </c>
      <c r="L18" s="341" t="s">
        <v>184</v>
      </c>
      <c r="M18" s="165"/>
      <c r="N18" s="169"/>
      <c r="O18" s="173"/>
      <c r="P18" s="173"/>
    </row>
    <row r="19" spans="1:16" ht="17.100000000000001" customHeight="1" x14ac:dyDescent="0.25">
      <c r="A19" s="449" t="s">
        <v>168</v>
      </c>
      <c r="B19" s="315"/>
      <c r="C19" s="339"/>
      <c r="D19" s="340"/>
      <c r="E19" s="338"/>
      <c r="F19" s="129"/>
      <c r="G19" s="341"/>
      <c r="H19" s="341"/>
      <c r="I19" s="338"/>
      <c r="J19" s="129"/>
      <c r="K19" s="341"/>
      <c r="L19" s="341"/>
      <c r="M19" s="165"/>
      <c r="N19" s="169"/>
      <c r="O19" s="173"/>
      <c r="P19" s="173"/>
    </row>
    <row r="20" spans="1:16" ht="17.100000000000001" customHeight="1" x14ac:dyDescent="0.25">
      <c r="A20" s="314"/>
      <c r="B20" s="129" t="s">
        <v>11</v>
      </c>
      <c r="C20" s="342">
        <v>137000</v>
      </c>
      <c r="D20" s="315" t="s">
        <v>12</v>
      </c>
      <c r="E20" s="338"/>
      <c r="F20" s="129"/>
      <c r="G20" s="341"/>
      <c r="H20" s="341"/>
      <c r="I20" s="338"/>
      <c r="J20" s="129"/>
      <c r="K20" s="341"/>
      <c r="L20" s="341"/>
      <c r="M20" s="165"/>
      <c r="N20" s="169"/>
      <c r="O20" s="173"/>
      <c r="P20" s="173"/>
    </row>
    <row r="21" spans="1:16" ht="15" customHeight="1" x14ac:dyDescent="0.25">
      <c r="G21" s="173"/>
      <c r="H21" s="173"/>
      <c r="I21" s="165"/>
      <c r="J21" s="169"/>
      <c r="K21" s="173"/>
      <c r="L21" s="173"/>
      <c r="M21" s="165"/>
      <c r="N21" s="169"/>
      <c r="O21" s="173"/>
      <c r="P21" s="173"/>
    </row>
    <row r="22" spans="1:16" ht="15" customHeight="1" x14ac:dyDescent="0.25">
      <c r="B22" s="150"/>
      <c r="C22" s="31"/>
      <c r="D22" s="164"/>
      <c r="E22" s="170"/>
      <c r="F22" s="170"/>
      <c r="G22" s="171"/>
      <c r="J22" s="172"/>
    </row>
    <row r="23" spans="1:16" ht="15" customHeight="1" x14ac:dyDescent="0.25">
      <c r="B23" s="31"/>
      <c r="C23" s="31"/>
      <c r="D23" s="164"/>
      <c r="E23" s="165"/>
      <c r="F23" s="165"/>
      <c r="J23" s="172"/>
    </row>
    <row r="24" spans="1:16" ht="15" customHeight="1" x14ac:dyDescent="0.25">
      <c r="C24" s="165"/>
      <c r="D24" s="164"/>
    </row>
    <row r="25" spans="1:16" ht="15" customHeight="1" x14ac:dyDescent="0.25">
      <c r="C25" s="165"/>
      <c r="D25" s="165"/>
      <c r="E25" s="172"/>
      <c r="I25" s="172"/>
    </row>
    <row r="26" spans="1:16" ht="15" customHeight="1" x14ac:dyDescent="0.25">
      <c r="C26" s="165"/>
      <c r="E26" s="172"/>
    </row>
    <row r="27" spans="1:16" ht="15" customHeight="1" x14ac:dyDescent="0.25">
      <c r="C27" s="165"/>
      <c r="E27" s="165"/>
      <c r="F27" s="172"/>
      <c r="H27" s="172"/>
    </row>
    <row r="28" spans="1:16" ht="15" customHeight="1" x14ac:dyDescent="0.25">
      <c r="C28" s="165"/>
      <c r="E28" s="170"/>
      <c r="F28" s="171"/>
      <c r="G28" s="171"/>
    </row>
    <row r="29" spans="1:16" ht="15" customHeight="1" x14ac:dyDescent="0.25">
      <c r="C29" s="165"/>
      <c r="E29" s="165"/>
      <c r="F29" s="164"/>
      <c r="G29" s="171"/>
      <c r="H29" s="172"/>
    </row>
    <row r="30" spans="1:16" ht="15" customHeight="1" x14ac:dyDescent="0.25">
      <c r="C30" s="165"/>
      <c r="E30" s="170"/>
      <c r="F30" s="170"/>
      <c r="G30" s="171"/>
    </row>
    <row r="31" spans="1:16" ht="15" customHeight="1" x14ac:dyDescent="0.25">
      <c r="C31" s="165"/>
      <c r="D31" s="170"/>
      <c r="E31" s="176"/>
      <c r="F31" s="171"/>
      <c r="G31" s="172"/>
    </row>
    <row r="32" spans="1:16" ht="15" customHeight="1" x14ac:dyDescent="0.25">
      <c r="C32" s="165"/>
      <c r="D32" s="170"/>
      <c r="E32" s="170"/>
      <c r="F32" s="171"/>
      <c r="G32" s="172"/>
      <c r="H32" s="172"/>
    </row>
    <row r="33" spans="1:8" ht="15" customHeight="1" x14ac:dyDescent="0.25">
      <c r="C33" s="165"/>
      <c r="D33" s="170"/>
      <c r="E33" s="170"/>
      <c r="F33" s="171"/>
      <c r="G33" s="172"/>
      <c r="H33" s="172"/>
    </row>
    <row r="34" spans="1:8" ht="15" customHeight="1" x14ac:dyDescent="0.25">
      <c r="C34" s="170"/>
      <c r="D34" s="177"/>
      <c r="E34" s="178"/>
      <c r="F34" s="171"/>
      <c r="G34" s="172"/>
      <c r="H34" s="172"/>
    </row>
    <row r="35" spans="1:8" ht="15" customHeight="1" x14ac:dyDescent="0.25">
      <c r="C35" s="165"/>
      <c r="D35" s="170"/>
      <c r="E35" s="170"/>
      <c r="F35" s="171"/>
      <c r="G35" s="172"/>
      <c r="H35" s="172"/>
    </row>
    <row r="36" spans="1:8" ht="15" customHeight="1" x14ac:dyDescent="0.25">
      <c r="C36" s="165"/>
      <c r="D36" s="164"/>
      <c r="E36" s="170"/>
      <c r="F36" s="171"/>
      <c r="G36" s="172"/>
      <c r="H36" s="172"/>
    </row>
    <row r="37" spans="1:8" ht="15" customHeight="1" x14ac:dyDescent="0.25">
      <c r="C37" s="165"/>
      <c r="D37" s="165"/>
      <c r="E37" s="170"/>
      <c r="F37" s="171"/>
      <c r="G37" s="172"/>
      <c r="H37" s="172"/>
    </row>
    <row r="38" spans="1:8" ht="15" customHeight="1" x14ac:dyDescent="0.25">
      <c r="C38" s="165"/>
      <c r="D38" s="170"/>
      <c r="E38" s="170"/>
      <c r="F38" s="171"/>
      <c r="G38" s="172"/>
      <c r="H38" s="172"/>
    </row>
    <row r="39" spans="1:8" ht="15" customHeight="1" x14ac:dyDescent="0.25">
      <c r="C39" s="165"/>
      <c r="D39" s="165"/>
      <c r="E39" s="170"/>
      <c r="F39" s="171"/>
      <c r="G39" s="172"/>
      <c r="H39" s="172"/>
    </row>
    <row r="40" spans="1:8" ht="15" customHeight="1" x14ac:dyDescent="0.25">
      <c r="C40" s="170"/>
      <c r="D40" s="179"/>
      <c r="E40" s="171"/>
    </row>
    <row r="41" spans="1:8" ht="15" customHeight="1" x14ac:dyDescent="0.25">
      <c r="A41" s="53"/>
      <c r="C41" s="180"/>
      <c r="D41" s="181"/>
    </row>
    <row r="42" spans="1:8" ht="15" customHeight="1" x14ac:dyDescent="0.25">
      <c r="A42" s="53"/>
      <c r="C42" s="180"/>
      <c r="D42" s="181"/>
    </row>
  </sheetData>
  <mergeCells count="12">
    <mergeCell ref="A1:L1"/>
    <mergeCell ref="A2:L2"/>
    <mergeCell ref="A4:A5"/>
    <mergeCell ref="E5:J5"/>
    <mergeCell ref="E4:F4"/>
    <mergeCell ref="G4:H4"/>
    <mergeCell ref="I4:J4"/>
    <mergeCell ref="D17:F17"/>
    <mergeCell ref="G17:I17"/>
    <mergeCell ref="J17:L17"/>
    <mergeCell ref="C4:D5"/>
    <mergeCell ref="B4:B5"/>
  </mergeCells>
  <printOptions horizontalCentered="1"/>
  <pageMargins left="0.5" right="0.5" top="0.5" bottom="0.5" header="0.3" footer="0.3"/>
  <pageSetup scale="60" orientation="landscape" r:id="rId1"/>
  <headerFooter scaleWithDoc="0">
    <oddFooter>&amp;L&amp;"Arial,Regular"&amp;9Hilcorp Alaska, LLC
Grayling Platform
Title V Renewal Application&amp;C&amp;"Arial,Regular"&amp;9Page D-&amp;P&amp;R&amp;"Arial,Regular"&amp;9December 2022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269BD-65DB-4F50-8CD4-9C9B5A97E46B}">
  <dimension ref="A1:V41"/>
  <sheetViews>
    <sheetView view="pageBreakPreview" zoomScaleNormal="100" zoomScaleSheetLayoutView="100" workbookViewId="0">
      <selection activeCell="A16" sqref="A16"/>
    </sheetView>
  </sheetViews>
  <sheetFormatPr defaultColWidth="9.140625" defaultRowHeight="12.75" x14ac:dyDescent="0.2"/>
  <cols>
    <col min="1" max="1" width="9.28515625" style="2" customWidth="1"/>
    <col min="2" max="2" width="29.140625" style="23" customWidth="1"/>
    <col min="3" max="3" width="7.5703125" style="1" customWidth="1"/>
    <col min="4" max="4" width="10.28515625" style="1" customWidth="1"/>
    <col min="5" max="5" width="10.85546875" style="1" customWidth="1"/>
    <col min="6" max="6" width="8.7109375" style="1" bestFit="1" customWidth="1"/>
    <col min="7" max="7" width="10.42578125" style="1" customWidth="1"/>
    <col min="8" max="8" width="8.7109375" style="1" bestFit="1" customWidth="1"/>
    <col min="9" max="9" width="10.5703125" style="1" customWidth="1"/>
    <col min="10" max="10" width="7.5703125" style="1" customWidth="1"/>
    <col min="11" max="11" width="9.140625" style="1"/>
    <col min="12" max="12" width="12.7109375" style="1" customWidth="1"/>
    <col min="13" max="13" width="9.140625" style="1"/>
    <col min="14" max="14" width="12.85546875" style="1" customWidth="1"/>
    <col min="15" max="15" width="9.140625" style="1"/>
    <col min="16" max="16" width="11.5703125" style="1" customWidth="1"/>
    <col min="17" max="17" width="11" style="1" customWidth="1"/>
    <col min="18" max="18" width="10.140625" style="1" customWidth="1"/>
    <col min="19" max="19" width="9.140625" style="1"/>
    <col min="20" max="20" width="12.140625" style="1" customWidth="1"/>
    <col min="21" max="16384" width="9.140625" style="1"/>
  </cols>
  <sheetData>
    <row r="1" spans="1:22" s="150" customFormat="1" ht="17.100000000000001" customHeight="1" x14ac:dyDescent="0.25">
      <c r="A1" s="473" t="s">
        <v>201</v>
      </c>
      <c r="B1" s="473"/>
      <c r="C1" s="473"/>
      <c r="D1" s="473"/>
      <c r="E1" s="473"/>
      <c r="F1" s="473"/>
      <c r="G1" s="473"/>
      <c r="H1" s="473"/>
      <c r="I1" s="473"/>
      <c r="J1" s="473"/>
      <c r="K1" s="38"/>
      <c r="L1" s="38"/>
      <c r="M1" s="38"/>
      <c r="N1" s="38"/>
      <c r="O1" s="38"/>
      <c r="P1" s="38"/>
      <c r="Q1" s="38"/>
      <c r="R1" s="38"/>
      <c r="S1" s="38"/>
      <c r="T1" s="38"/>
      <c r="U1" s="38"/>
      <c r="V1" s="38"/>
    </row>
    <row r="2" spans="1:22" s="150" customFormat="1" ht="17.100000000000001" customHeight="1" x14ac:dyDescent="0.25">
      <c r="A2" s="473" t="str">
        <f>Inventory!A2</f>
        <v>Hilcorp Alaska, LLC - Grayling Platform</v>
      </c>
      <c r="B2" s="473"/>
      <c r="C2" s="473"/>
      <c r="D2" s="473"/>
      <c r="E2" s="473"/>
      <c r="F2" s="473"/>
      <c r="G2" s="473"/>
      <c r="H2" s="473"/>
      <c r="I2" s="473"/>
      <c r="J2" s="473"/>
      <c r="K2" s="38"/>
      <c r="L2" s="38"/>
      <c r="M2" s="38"/>
      <c r="N2" s="38"/>
      <c r="O2" s="38"/>
      <c r="P2" s="38"/>
      <c r="Q2" s="38"/>
      <c r="R2" s="38"/>
      <c r="S2" s="38"/>
      <c r="T2" s="38"/>
      <c r="U2" s="38"/>
      <c r="V2" s="38"/>
    </row>
    <row r="3" spans="1:22" s="150" customFormat="1" ht="17.100000000000001" customHeight="1" thickBot="1" x14ac:dyDescent="0.3">
      <c r="A3" s="53"/>
      <c r="B3" s="54"/>
      <c r="C3" s="38"/>
      <c r="D3" s="38"/>
      <c r="E3" s="38"/>
      <c r="F3" s="38"/>
      <c r="G3" s="38"/>
      <c r="H3" s="38"/>
      <c r="I3" s="38"/>
      <c r="J3" s="38"/>
      <c r="K3" s="38"/>
      <c r="L3" s="38"/>
      <c r="M3" s="38"/>
      <c r="N3" s="38"/>
    </row>
    <row r="4" spans="1:22" s="150" customFormat="1" ht="30.95" customHeight="1" x14ac:dyDescent="0.25">
      <c r="A4" s="479" t="s">
        <v>45</v>
      </c>
      <c r="B4" s="477" t="s">
        <v>28</v>
      </c>
      <c r="C4" s="616" t="s">
        <v>174</v>
      </c>
      <c r="D4" s="616"/>
      <c r="E4" s="616" t="s">
        <v>230</v>
      </c>
      <c r="F4" s="616"/>
      <c r="G4" s="616" t="s">
        <v>159</v>
      </c>
      <c r="H4" s="616"/>
      <c r="I4" s="616" t="s">
        <v>177</v>
      </c>
      <c r="J4" s="617"/>
    </row>
    <row r="5" spans="1:22" s="53" customFormat="1" ht="17.100000000000001" customHeight="1" thickBot="1" x14ac:dyDescent="0.3">
      <c r="A5" s="480"/>
      <c r="B5" s="478"/>
      <c r="C5" s="635"/>
      <c r="D5" s="635"/>
      <c r="E5" s="621" t="s">
        <v>141</v>
      </c>
      <c r="F5" s="633"/>
      <c r="G5" s="633"/>
      <c r="H5" s="633"/>
      <c r="I5" s="633"/>
      <c r="J5" s="634"/>
    </row>
    <row r="6" spans="1:22" s="150" customFormat="1" ht="17.100000000000001" customHeight="1" thickTop="1" x14ac:dyDescent="0.25">
      <c r="A6" s="156">
        <v>75070</v>
      </c>
      <c r="B6" s="157" t="s">
        <v>29</v>
      </c>
      <c r="C6" s="248">
        <v>4.2999999999999997E-2</v>
      </c>
      <c r="D6" s="98" t="s">
        <v>19</v>
      </c>
      <c r="E6" s="159">
        <f t="shared" ref="E6:E14" si="0">$C6*$C$20/2000</f>
        <v>8.4752999999999993E-5</v>
      </c>
      <c r="F6" s="249" t="s">
        <v>24</v>
      </c>
      <c r="G6" s="250">
        <f t="shared" ref="G6:G14" si="1">$C6*$E$20/2000</f>
        <v>0.22161339999999996</v>
      </c>
      <c r="H6" s="249" t="s">
        <v>24</v>
      </c>
      <c r="I6" s="159">
        <f t="shared" ref="I6:I14" si="2">$C6*$G$20/2000</f>
        <v>1.0713234999999998E-3</v>
      </c>
      <c r="J6" s="251" t="s">
        <v>24</v>
      </c>
    </row>
    <row r="7" spans="1:22" s="150" customFormat="1" ht="17.100000000000001" customHeight="1" x14ac:dyDescent="0.25">
      <c r="A7" s="160">
        <v>107028</v>
      </c>
      <c r="B7" s="161" t="s">
        <v>30</v>
      </c>
      <c r="C7" s="252">
        <v>0.01</v>
      </c>
      <c r="D7" s="9" t="s">
        <v>19</v>
      </c>
      <c r="E7" s="159">
        <f t="shared" si="0"/>
        <v>1.9710000000000003E-5</v>
      </c>
      <c r="F7" s="242" t="s">
        <v>24</v>
      </c>
      <c r="G7" s="159">
        <f t="shared" si="1"/>
        <v>5.1537999999999994E-2</v>
      </c>
      <c r="H7" s="242" t="s">
        <v>24</v>
      </c>
      <c r="I7" s="159">
        <f t="shared" si="2"/>
        <v>2.4914499999999999E-4</v>
      </c>
      <c r="J7" s="240" t="s">
        <v>24</v>
      </c>
    </row>
    <row r="8" spans="1:22" s="150" customFormat="1" ht="17.100000000000001" customHeight="1" x14ac:dyDescent="0.25">
      <c r="A8" s="123">
        <v>71432</v>
      </c>
      <c r="B8" s="163" t="s">
        <v>26</v>
      </c>
      <c r="C8" s="253">
        <v>0.159</v>
      </c>
      <c r="D8" s="150" t="s">
        <v>19</v>
      </c>
      <c r="E8" s="159">
        <f t="shared" si="0"/>
        <v>3.1338900000000002E-4</v>
      </c>
      <c r="F8" s="9" t="s">
        <v>24</v>
      </c>
      <c r="G8" s="250">
        <f t="shared" si="1"/>
        <v>0.81945419999999991</v>
      </c>
      <c r="H8" s="9" t="s">
        <v>24</v>
      </c>
      <c r="I8" s="159">
        <f t="shared" si="2"/>
        <v>3.9614055E-3</v>
      </c>
      <c r="J8" s="26" t="s">
        <v>24</v>
      </c>
    </row>
    <row r="9" spans="1:22" s="150" customFormat="1" ht="17.100000000000001" customHeight="1" x14ac:dyDescent="0.25">
      <c r="A9" s="160">
        <v>100414</v>
      </c>
      <c r="B9" s="161" t="s">
        <v>32</v>
      </c>
      <c r="C9" s="252">
        <v>1.444</v>
      </c>
      <c r="D9" s="9" t="s">
        <v>19</v>
      </c>
      <c r="E9" s="159">
        <f t="shared" si="0"/>
        <v>2.8461240000000002E-3</v>
      </c>
      <c r="F9" s="242" t="s">
        <v>24</v>
      </c>
      <c r="G9" s="250">
        <f t="shared" si="1"/>
        <v>7.4420871999999987</v>
      </c>
      <c r="H9" s="242" t="s">
        <v>24</v>
      </c>
      <c r="I9" s="159">
        <f t="shared" si="2"/>
        <v>3.5976537999999995E-2</v>
      </c>
      <c r="J9" s="240" t="s">
        <v>24</v>
      </c>
    </row>
    <row r="10" spans="1:22" s="150" customFormat="1" ht="17.100000000000001" customHeight="1" x14ac:dyDescent="0.25">
      <c r="A10" s="160">
        <v>5000</v>
      </c>
      <c r="B10" s="161" t="s">
        <v>33</v>
      </c>
      <c r="C10" s="252">
        <v>1.169</v>
      </c>
      <c r="D10" s="9" t="s">
        <v>19</v>
      </c>
      <c r="E10" s="159">
        <f t="shared" si="0"/>
        <v>2.3040990000000004E-3</v>
      </c>
      <c r="F10" s="9" t="s">
        <v>24</v>
      </c>
      <c r="G10" s="250">
        <f t="shared" si="1"/>
        <v>6.0247921999999994</v>
      </c>
      <c r="H10" s="9" t="s">
        <v>24</v>
      </c>
      <c r="I10" s="159">
        <f t="shared" si="2"/>
        <v>2.9125050499999999E-2</v>
      </c>
      <c r="J10" s="26" t="s">
        <v>24</v>
      </c>
    </row>
    <row r="11" spans="1:22" s="150" customFormat="1" ht="17.100000000000001" customHeight="1" x14ac:dyDescent="0.25">
      <c r="A11" s="160">
        <v>110543</v>
      </c>
      <c r="B11" s="163" t="s">
        <v>27</v>
      </c>
      <c r="C11" s="253">
        <v>2.9000000000000001E-2</v>
      </c>
      <c r="D11" s="150" t="s">
        <v>19</v>
      </c>
      <c r="E11" s="159">
        <f t="shared" si="0"/>
        <v>5.7159000000000006E-5</v>
      </c>
      <c r="F11" s="242" t="s">
        <v>24</v>
      </c>
      <c r="G11" s="250">
        <f t="shared" si="1"/>
        <v>0.14946019999999999</v>
      </c>
      <c r="H11" s="242" t="s">
        <v>24</v>
      </c>
      <c r="I11" s="159">
        <f t="shared" si="2"/>
        <v>7.225205E-4</v>
      </c>
      <c r="J11" s="240" t="s">
        <v>24</v>
      </c>
    </row>
    <row r="12" spans="1:22" s="150" customFormat="1" ht="17.100000000000001" customHeight="1" x14ac:dyDescent="0.25">
      <c r="A12" s="160" t="s">
        <v>7</v>
      </c>
      <c r="B12" s="163" t="s">
        <v>34</v>
      </c>
      <c r="C12" s="252">
        <v>1.4E-2</v>
      </c>
      <c r="D12" s="9" t="s">
        <v>19</v>
      </c>
      <c r="E12" s="159">
        <f t="shared" si="0"/>
        <v>2.7594E-5</v>
      </c>
      <c r="F12" s="242" t="s">
        <v>24</v>
      </c>
      <c r="G12" s="159">
        <f t="shared" si="1"/>
        <v>7.2153200000000001E-2</v>
      </c>
      <c r="H12" s="242" t="s">
        <v>24</v>
      </c>
      <c r="I12" s="159">
        <f t="shared" si="2"/>
        <v>3.4880300000000001E-4</v>
      </c>
      <c r="J12" s="240" t="s">
        <v>24</v>
      </c>
    </row>
    <row r="13" spans="1:22" s="150" customFormat="1" ht="17.100000000000001" customHeight="1" x14ac:dyDescent="0.25">
      <c r="A13" s="160">
        <v>108883</v>
      </c>
      <c r="B13" s="163" t="s">
        <v>35</v>
      </c>
      <c r="C13" s="252">
        <v>5.8000000000000003E-2</v>
      </c>
      <c r="D13" s="9" t="s">
        <v>19</v>
      </c>
      <c r="E13" s="159">
        <f t="shared" si="0"/>
        <v>1.1431800000000001E-4</v>
      </c>
      <c r="F13" s="242" t="s">
        <v>24</v>
      </c>
      <c r="G13" s="250">
        <f t="shared" si="1"/>
        <v>0.29892039999999998</v>
      </c>
      <c r="H13" s="242" t="s">
        <v>24</v>
      </c>
      <c r="I13" s="159">
        <f t="shared" si="2"/>
        <v>1.445041E-3</v>
      </c>
      <c r="J13" s="240" t="s">
        <v>24</v>
      </c>
    </row>
    <row r="14" spans="1:22" s="150" customFormat="1" ht="17.100000000000001" customHeight="1" thickBot="1" x14ac:dyDescent="0.3">
      <c r="A14" s="185">
        <v>106423</v>
      </c>
      <c r="B14" s="186" t="s">
        <v>37</v>
      </c>
      <c r="C14" s="254">
        <v>2.9000000000000001E-2</v>
      </c>
      <c r="D14" s="91" t="s">
        <v>19</v>
      </c>
      <c r="E14" s="187">
        <f t="shared" si="0"/>
        <v>5.7159000000000006E-5</v>
      </c>
      <c r="F14" s="244" t="s">
        <v>24</v>
      </c>
      <c r="G14" s="287">
        <f t="shared" si="1"/>
        <v>0.14946019999999999</v>
      </c>
      <c r="H14" s="244" t="s">
        <v>24</v>
      </c>
      <c r="I14" s="187">
        <f t="shared" si="2"/>
        <v>7.225205E-4</v>
      </c>
      <c r="J14" s="246" t="s">
        <v>24</v>
      </c>
    </row>
    <row r="15" spans="1:22" s="150" customFormat="1" ht="17.100000000000001" customHeight="1" thickBot="1" x14ac:dyDescent="0.3">
      <c r="A15" s="31"/>
      <c r="B15" s="164"/>
      <c r="C15" s="165"/>
      <c r="D15" s="182" t="s">
        <v>23</v>
      </c>
      <c r="E15" s="183">
        <f>SUM(E6:E14)</f>
        <v>5.824305000000001E-3</v>
      </c>
      <c r="F15" s="107" t="s">
        <v>24</v>
      </c>
      <c r="G15" s="255">
        <f>SUM(G6:G14)</f>
        <v>15.229479</v>
      </c>
      <c r="H15" s="107" t="s">
        <v>24</v>
      </c>
      <c r="I15" s="184">
        <f>SUM(I6:I14)</f>
        <v>7.3622347499999991E-2</v>
      </c>
      <c r="J15" s="102" t="s">
        <v>24</v>
      </c>
    </row>
    <row r="16" spans="1:22" s="150" customFormat="1" ht="17.100000000000001" customHeight="1" x14ac:dyDescent="0.25">
      <c r="A16" s="449" t="s">
        <v>25</v>
      </c>
      <c r="B16" s="314"/>
      <c r="C16" s="332"/>
      <c r="D16" s="333"/>
      <c r="E16" s="334"/>
      <c r="F16" s="335"/>
      <c r="G16" s="312"/>
      <c r="H16" s="312"/>
      <c r="I16" s="312"/>
    </row>
    <row r="17" spans="1:9" s="150" customFormat="1" ht="17.100000000000001" customHeight="1" x14ac:dyDescent="0.25">
      <c r="A17" s="313">
        <v>1</v>
      </c>
      <c r="B17" s="337" t="s">
        <v>48</v>
      </c>
      <c r="C17" s="312"/>
      <c r="D17" s="312"/>
      <c r="E17" s="312"/>
      <c r="F17" s="312"/>
      <c r="G17" s="312"/>
      <c r="H17" s="312"/>
      <c r="I17" s="312"/>
    </row>
    <row r="18" spans="1:9" s="150" customFormat="1" ht="17.100000000000001" customHeight="1" x14ac:dyDescent="0.25">
      <c r="A18" s="313">
        <v>2</v>
      </c>
      <c r="B18" s="315" t="s">
        <v>176</v>
      </c>
      <c r="C18" s="314"/>
      <c r="D18" s="332"/>
      <c r="E18" s="312"/>
      <c r="F18" s="338"/>
      <c r="G18" s="129"/>
      <c r="H18" s="312"/>
      <c r="I18" s="312"/>
    </row>
    <row r="19" spans="1:9" s="150" customFormat="1" ht="27" customHeight="1" x14ac:dyDescent="0.25">
      <c r="A19" s="314"/>
      <c r="B19" s="331" t="s">
        <v>0</v>
      </c>
      <c r="C19" s="618" t="s">
        <v>231</v>
      </c>
      <c r="D19" s="618"/>
      <c r="E19" s="618" t="s">
        <v>193</v>
      </c>
      <c r="F19" s="618"/>
      <c r="G19" s="618" t="s">
        <v>175</v>
      </c>
      <c r="H19" s="618"/>
      <c r="I19" s="312"/>
    </row>
    <row r="20" spans="1:9" s="150" customFormat="1" ht="17.100000000000001" customHeight="1" x14ac:dyDescent="0.25">
      <c r="A20" s="314"/>
      <c r="B20" s="314" t="s">
        <v>140</v>
      </c>
      <c r="C20" s="360">
        <v>3.9420000000000002</v>
      </c>
      <c r="D20" s="315" t="s">
        <v>8</v>
      </c>
      <c r="E20" s="343">
        <f>Inventory!I17*365*2</f>
        <v>10307.599999999999</v>
      </c>
      <c r="F20" s="315" t="s">
        <v>8</v>
      </c>
      <c r="G20" s="343">
        <f>Inventory!K17/1000</f>
        <v>49.829000000000001</v>
      </c>
      <c r="H20" s="315" t="s">
        <v>8</v>
      </c>
      <c r="I20" s="312"/>
    </row>
    <row r="21" spans="1:9" x14ac:dyDescent="0.2">
      <c r="C21" s="2"/>
      <c r="D21" s="44"/>
      <c r="E21" s="45"/>
      <c r="F21" s="45"/>
      <c r="G21" s="39"/>
    </row>
    <row r="22" spans="1:9" x14ac:dyDescent="0.2">
      <c r="A22" s="169"/>
      <c r="C22" s="40"/>
      <c r="D22" s="44"/>
    </row>
    <row r="23" spans="1:9" x14ac:dyDescent="0.2">
      <c r="C23" s="40"/>
      <c r="D23" s="40"/>
      <c r="E23" s="42"/>
      <c r="I23" s="42"/>
    </row>
    <row r="24" spans="1:9" x14ac:dyDescent="0.2">
      <c r="C24" s="40"/>
      <c r="E24" s="42"/>
    </row>
    <row r="25" spans="1:9" x14ac:dyDescent="0.2">
      <c r="C25" s="40"/>
      <c r="E25" s="40"/>
      <c r="F25" s="42"/>
      <c r="H25" s="42"/>
    </row>
    <row r="26" spans="1:9" x14ac:dyDescent="0.2">
      <c r="C26" s="40"/>
      <c r="E26" s="45"/>
      <c r="F26" s="39"/>
      <c r="G26" s="39"/>
    </row>
    <row r="27" spans="1:9" x14ac:dyDescent="0.2">
      <c r="C27" s="40"/>
      <c r="E27" s="40"/>
      <c r="F27" s="44"/>
      <c r="G27" s="39"/>
      <c r="H27" s="42"/>
    </row>
    <row r="28" spans="1:9" x14ac:dyDescent="0.2">
      <c r="C28" s="40"/>
      <c r="E28" s="45"/>
      <c r="F28" s="45"/>
      <c r="G28" s="39"/>
    </row>
    <row r="29" spans="1:9" x14ac:dyDescent="0.2">
      <c r="C29" s="40"/>
      <c r="D29" s="45"/>
      <c r="E29" s="46"/>
      <c r="F29" s="39"/>
      <c r="G29" s="42"/>
    </row>
    <row r="30" spans="1:9" x14ac:dyDescent="0.2">
      <c r="C30" s="40"/>
      <c r="D30" s="45"/>
      <c r="E30" s="45"/>
      <c r="F30" s="39"/>
      <c r="G30" s="42"/>
      <c r="H30" s="42"/>
    </row>
    <row r="31" spans="1:9" x14ac:dyDescent="0.2">
      <c r="C31" s="40"/>
      <c r="D31" s="45"/>
      <c r="E31" s="45"/>
      <c r="F31" s="39"/>
      <c r="G31" s="42"/>
      <c r="H31" s="42"/>
    </row>
    <row r="32" spans="1:9" x14ac:dyDescent="0.2">
      <c r="C32" s="45"/>
      <c r="D32" s="47"/>
      <c r="E32" s="48"/>
      <c r="F32" s="39"/>
      <c r="G32" s="42"/>
      <c r="H32" s="42"/>
    </row>
    <row r="33" spans="1:8" x14ac:dyDescent="0.2">
      <c r="C33" s="40"/>
      <c r="D33" s="45"/>
      <c r="E33" s="45"/>
      <c r="F33" s="39"/>
      <c r="G33" s="42"/>
      <c r="H33" s="42"/>
    </row>
    <row r="34" spans="1:8" x14ac:dyDescent="0.2">
      <c r="C34" s="40"/>
      <c r="D34" s="44"/>
      <c r="E34" s="45"/>
      <c r="F34" s="39"/>
      <c r="G34" s="42"/>
      <c r="H34" s="42"/>
    </row>
    <row r="35" spans="1:8" x14ac:dyDescent="0.2">
      <c r="C35" s="40"/>
      <c r="D35" s="40"/>
      <c r="E35" s="45"/>
      <c r="F35" s="39"/>
      <c r="G35" s="42"/>
      <c r="H35" s="42"/>
    </row>
    <row r="36" spans="1:8" x14ac:dyDescent="0.2">
      <c r="C36" s="40"/>
      <c r="D36" s="45"/>
      <c r="E36" s="45"/>
      <c r="F36" s="39"/>
      <c r="G36" s="42"/>
      <c r="H36" s="42"/>
    </row>
    <row r="37" spans="1:8" x14ac:dyDescent="0.2">
      <c r="C37" s="40"/>
      <c r="D37" s="40"/>
      <c r="E37" s="45"/>
      <c r="F37" s="39"/>
      <c r="G37" s="42"/>
      <c r="H37" s="42"/>
    </row>
    <row r="38" spans="1:8" x14ac:dyDescent="0.2">
      <c r="C38" s="45"/>
      <c r="D38" s="49"/>
      <c r="E38" s="39"/>
    </row>
    <row r="39" spans="1:8" x14ac:dyDescent="0.2">
      <c r="A39" s="52"/>
      <c r="C39" s="41"/>
      <c r="D39" s="51"/>
    </row>
    <row r="40" spans="1:8" x14ac:dyDescent="0.2">
      <c r="A40" s="52"/>
      <c r="C40" s="41"/>
      <c r="D40" s="51"/>
    </row>
    <row r="41" spans="1:8" x14ac:dyDescent="0.2">
      <c r="A41" s="52"/>
      <c r="C41" s="41"/>
      <c r="D41" s="51"/>
    </row>
  </sheetData>
  <mergeCells count="12">
    <mergeCell ref="A1:J1"/>
    <mergeCell ref="A2:J2"/>
    <mergeCell ref="A4:A5"/>
    <mergeCell ref="E19:F19"/>
    <mergeCell ref="C19:D19"/>
    <mergeCell ref="G19:H19"/>
    <mergeCell ref="C4:D5"/>
    <mergeCell ref="B4:B5"/>
    <mergeCell ref="E5:J5"/>
    <mergeCell ref="E4:F4"/>
    <mergeCell ref="G4:H4"/>
    <mergeCell ref="I4:J4"/>
  </mergeCells>
  <printOptions horizontalCentered="1"/>
  <pageMargins left="0.5" right="0.5" top="0.5" bottom="0.5" header="0.3" footer="0.3"/>
  <pageSetup scale="60" orientation="landscape" r:id="rId1"/>
  <headerFooter scaleWithDoc="0">
    <oddFooter>&amp;L&amp;"Arial,Regular"&amp;9Hilcorp Alaska, LLC
Grayling Platform
Title V Renewal Application&amp;C&amp;"Arial,Regular"&amp;9Page D-&amp;P&amp;R&amp;"Arial,Regular"&amp;9December 2022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73F7A-4D8E-4BD1-A02A-91C13F5F8C2E}">
  <dimension ref="A1:H37"/>
  <sheetViews>
    <sheetView view="pageBreakPreview" zoomScaleNormal="100" zoomScaleSheetLayoutView="100" workbookViewId="0">
      <selection activeCell="A2" sqref="A2:H2"/>
    </sheetView>
  </sheetViews>
  <sheetFormatPr defaultColWidth="9.140625" defaultRowHeight="12.75" x14ac:dyDescent="0.25"/>
  <cols>
    <col min="1" max="1" width="9.28515625" style="31" customWidth="1"/>
    <col min="2" max="2" width="29.140625" style="168" customWidth="1"/>
    <col min="3" max="3" width="9.140625" style="150"/>
    <col min="4" max="4" width="10.85546875" style="150" customWidth="1"/>
    <col min="5" max="5" width="11.85546875" style="150" customWidth="1"/>
    <col min="6" max="6" width="9.7109375" style="150" bestFit="1" customWidth="1"/>
    <col min="7" max="7" width="5.5703125" style="150" bestFit="1" customWidth="1"/>
    <col min="8" max="8" width="4.7109375" style="150" bestFit="1" customWidth="1"/>
    <col min="9" max="16384" width="9.140625" style="150"/>
  </cols>
  <sheetData>
    <row r="1" spans="1:8" ht="17.100000000000001" customHeight="1" x14ac:dyDescent="0.25">
      <c r="A1" s="473" t="s">
        <v>202</v>
      </c>
      <c r="B1" s="473"/>
      <c r="C1" s="473"/>
      <c r="D1" s="473"/>
      <c r="E1" s="473"/>
      <c r="F1" s="473"/>
      <c r="G1" s="473"/>
      <c r="H1" s="473"/>
    </row>
    <row r="2" spans="1:8" ht="17.100000000000001" customHeight="1" x14ac:dyDescent="0.25">
      <c r="A2" s="473" t="str">
        <f>Inventory!A2</f>
        <v>Hilcorp Alaska, LLC - Grayling Platform</v>
      </c>
      <c r="B2" s="473"/>
      <c r="C2" s="473"/>
      <c r="D2" s="473"/>
      <c r="E2" s="473"/>
      <c r="F2" s="473"/>
      <c r="G2" s="473"/>
      <c r="H2" s="473"/>
    </row>
    <row r="3" spans="1:8" ht="17.100000000000001" customHeight="1" thickBot="1" x14ac:dyDescent="0.3">
      <c r="A3" s="53"/>
      <c r="B3" s="53"/>
      <c r="C3" s="53"/>
      <c r="D3" s="53"/>
      <c r="E3" s="53"/>
      <c r="F3" s="53"/>
    </row>
    <row r="4" spans="1:8" ht="30.95" customHeight="1" x14ac:dyDescent="0.25">
      <c r="A4" s="479" t="s">
        <v>45</v>
      </c>
      <c r="B4" s="477" t="s">
        <v>28</v>
      </c>
      <c r="C4" s="477" t="s">
        <v>174</v>
      </c>
      <c r="D4" s="477"/>
      <c r="E4" s="616" t="s">
        <v>159</v>
      </c>
      <c r="F4" s="617"/>
    </row>
    <row r="5" spans="1:8" s="53" customFormat="1" ht="17.100000000000001" customHeight="1" thickBot="1" x14ac:dyDescent="0.3">
      <c r="A5" s="480"/>
      <c r="B5" s="478"/>
      <c r="C5" s="478"/>
      <c r="D5" s="478"/>
      <c r="E5" s="478" t="s">
        <v>142</v>
      </c>
      <c r="F5" s="516"/>
    </row>
    <row r="6" spans="1:8" ht="17.100000000000001" customHeight="1" thickTop="1" x14ac:dyDescent="0.25">
      <c r="A6" s="123">
        <v>71432</v>
      </c>
      <c r="B6" s="163" t="s">
        <v>26</v>
      </c>
      <c r="C6" s="238">
        <v>2.14E-4</v>
      </c>
      <c r="D6" s="150" t="s">
        <v>22</v>
      </c>
      <c r="E6" s="239">
        <f t="shared" ref="E6:E13" si="0">$C6*$E$28/2000</f>
        <v>5.4734014598540145E-5</v>
      </c>
      <c r="F6" s="240" t="s">
        <v>24</v>
      </c>
    </row>
    <row r="7" spans="1:8" ht="17.100000000000001" customHeight="1" x14ac:dyDescent="0.25">
      <c r="A7" s="160">
        <v>100414</v>
      </c>
      <c r="B7" s="161" t="s">
        <v>32</v>
      </c>
      <c r="C7" s="105">
        <v>6.3600000000000001E-5</v>
      </c>
      <c r="D7" s="9" t="s">
        <v>22</v>
      </c>
      <c r="E7" s="239">
        <f t="shared" si="0"/>
        <v>1.6266744525547445E-5</v>
      </c>
      <c r="F7" s="240" t="s">
        <v>24</v>
      </c>
    </row>
    <row r="8" spans="1:8" ht="17.100000000000001" customHeight="1" x14ac:dyDescent="0.25">
      <c r="A8" s="160">
        <v>5000</v>
      </c>
      <c r="B8" s="161" t="s">
        <v>33</v>
      </c>
      <c r="C8" s="238">
        <v>3.3000000000000002E-2</v>
      </c>
      <c r="D8" s="150" t="s">
        <v>22</v>
      </c>
      <c r="E8" s="239">
        <f t="shared" si="0"/>
        <v>8.4402919708029198E-3</v>
      </c>
      <c r="F8" s="240" t="s">
        <v>24</v>
      </c>
    </row>
    <row r="9" spans="1:8" ht="17.100000000000001" customHeight="1" x14ac:dyDescent="0.25">
      <c r="A9" s="160" t="s">
        <v>7</v>
      </c>
      <c r="B9" s="163" t="s">
        <v>34</v>
      </c>
      <c r="C9" s="105">
        <v>3.3E-3</v>
      </c>
      <c r="D9" s="9" t="s">
        <v>22</v>
      </c>
      <c r="E9" s="239">
        <f t="shared" si="0"/>
        <v>8.4402919708029191E-4</v>
      </c>
      <c r="F9" s="240" t="s">
        <v>24</v>
      </c>
    </row>
    <row r="10" spans="1:8" ht="17.100000000000001" customHeight="1" x14ac:dyDescent="0.25">
      <c r="A10" s="160">
        <v>91203</v>
      </c>
      <c r="B10" s="163" t="s">
        <v>36</v>
      </c>
      <c r="C10" s="105">
        <v>1.1299999999999999E-3</v>
      </c>
      <c r="D10" s="9" t="s">
        <v>22</v>
      </c>
      <c r="E10" s="239">
        <f t="shared" si="0"/>
        <v>2.8901605839416056E-4</v>
      </c>
      <c r="F10" s="240" t="s">
        <v>24</v>
      </c>
    </row>
    <row r="11" spans="1:8" ht="17.100000000000001" customHeight="1" x14ac:dyDescent="0.25">
      <c r="A11" s="160">
        <v>108883</v>
      </c>
      <c r="B11" s="163" t="s">
        <v>35</v>
      </c>
      <c r="C11" s="105">
        <v>6.1999999999999998E-3</v>
      </c>
      <c r="D11" s="9" t="s">
        <v>22</v>
      </c>
      <c r="E11" s="239">
        <f t="shared" si="0"/>
        <v>1.5857518248175181E-3</v>
      </c>
      <c r="F11" s="240" t="s">
        <v>24</v>
      </c>
    </row>
    <row r="12" spans="1:8" ht="17.100000000000001" customHeight="1" x14ac:dyDescent="0.25">
      <c r="A12" s="160">
        <v>71556</v>
      </c>
      <c r="B12" s="163" t="s">
        <v>185</v>
      </c>
      <c r="C12" s="105">
        <v>2.3599999999999999E-4</v>
      </c>
      <c r="D12" s="9" t="s">
        <v>22</v>
      </c>
      <c r="E12" s="239">
        <f t="shared" si="0"/>
        <v>6.0360875912408751E-5</v>
      </c>
      <c r="F12" s="240" t="s">
        <v>24</v>
      </c>
    </row>
    <row r="13" spans="1:8" ht="17.100000000000001" customHeight="1" x14ac:dyDescent="0.25">
      <c r="A13" s="160">
        <v>106423</v>
      </c>
      <c r="B13" s="163" t="s">
        <v>37</v>
      </c>
      <c r="C13" s="238">
        <v>1.0900000000000001E-4</v>
      </c>
      <c r="D13" s="150" t="s">
        <v>22</v>
      </c>
      <c r="E13" s="239">
        <f t="shared" si="0"/>
        <v>2.78785401459854E-5</v>
      </c>
      <c r="F13" s="240" t="s">
        <v>24</v>
      </c>
    </row>
    <row r="14" spans="1:8" ht="17.100000000000001" customHeight="1" x14ac:dyDescent="0.25">
      <c r="A14" s="123" t="s">
        <v>7</v>
      </c>
      <c r="B14" s="163" t="s">
        <v>186</v>
      </c>
      <c r="C14" s="241">
        <v>4</v>
      </c>
      <c r="D14" s="242" t="s">
        <v>145</v>
      </c>
      <c r="E14" s="239">
        <f t="shared" ref="E14:E22" si="1">C14*$E$29/2000</f>
        <v>1.4016000000000001E-4</v>
      </c>
      <c r="F14" s="240" t="s">
        <v>24</v>
      </c>
    </row>
    <row r="15" spans="1:8" ht="17.100000000000001" customHeight="1" x14ac:dyDescent="0.25">
      <c r="A15" s="123" t="s">
        <v>7</v>
      </c>
      <c r="B15" s="163" t="s">
        <v>143</v>
      </c>
      <c r="C15" s="241">
        <v>3</v>
      </c>
      <c r="D15" s="242" t="s">
        <v>145</v>
      </c>
      <c r="E15" s="239">
        <f t="shared" si="1"/>
        <v>1.0512000000000001E-4</v>
      </c>
      <c r="F15" s="240" t="s">
        <v>24</v>
      </c>
    </row>
    <row r="16" spans="1:8" ht="17.100000000000001" customHeight="1" x14ac:dyDescent="0.25">
      <c r="A16" s="123" t="s">
        <v>7</v>
      </c>
      <c r="B16" s="163" t="s">
        <v>39</v>
      </c>
      <c r="C16" s="241">
        <v>3</v>
      </c>
      <c r="D16" s="242" t="s">
        <v>145</v>
      </c>
      <c r="E16" s="239">
        <f t="shared" si="1"/>
        <v>1.0512000000000001E-4</v>
      </c>
      <c r="F16" s="240" t="s">
        <v>24</v>
      </c>
    </row>
    <row r="17" spans="1:8" ht="17.100000000000001" customHeight="1" x14ac:dyDescent="0.25">
      <c r="A17" s="123" t="s">
        <v>7</v>
      </c>
      <c r="B17" s="163" t="s">
        <v>40</v>
      </c>
      <c r="C17" s="241">
        <v>3</v>
      </c>
      <c r="D17" s="242" t="s">
        <v>145</v>
      </c>
      <c r="E17" s="239">
        <f t="shared" si="1"/>
        <v>1.0512000000000001E-4</v>
      </c>
      <c r="F17" s="240" t="s">
        <v>24</v>
      </c>
    </row>
    <row r="18" spans="1:8" ht="17.100000000000001" customHeight="1" x14ac:dyDescent="0.25">
      <c r="A18" s="123" t="s">
        <v>7</v>
      </c>
      <c r="B18" s="163" t="s">
        <v>41</v>
      </c>
      <c r="C18" s="241">
        <v>9</v>
      </c>
      <c r="D18" s="242" t="s">
        <v>145</v>
      </c>
      <c r="E18" s="239">
        <f t="shared" si="1"/>
        <v>3.1536000000000004E-4</v>
      </c>
      <c r="F18" s="240" t="s">
        <v>24</v>
      </c>
    </row>
    <row r="19" spans="1:8" ht="17.100000000000001" customHeight="1" x14ac:dyDescent="0.25">
      <c r="A19" s="123" t="s">
        <v>7</v>
      </c>
      <c r="B19" s="163" t="s">
        <v>42</v>
      </c>
      <c r="C19" s="241">
        <v>6</v>
      </c>
      <c r="D19" s="242" t="s">
        <v>145</v>
      </c>
      <c r="E19" s="239">
        <f t="shared" si="1"/>
        <v>2.1024000000000002E-4</v>
      </c>
      <c r="F19" s="240" t="s">
        <v>24</v>
      </c>
    </row>
    <row r="20" spans="1:8" ht="17.100000000000001" customHeight="1" x14ac:dyDescent="0.25">
      <c r="A20" s="123" t="s">
        <v>7</v>
      </c>
      <c r="B20" s="163" t="s">
        <v>43</v>
      </c>
      <c r="C20" s="241">
        <v>3</v>
      </c>
      <c r="D20" s="242" t="s">
        <v>145</v>
      </c>
      <c r="E20" s="239">
        <f t="shared" si="1"/>
        <v>1.0512000000000001E-4</v>
      </c>
      <c r="F20" s="240" t="s">
        <v>24</v>
      </c>
    </row>
    <row r="21" spans="1:8" ht="17.100000000000001" customHeight="1" x14ac:dyDescent="0.25">
      <c r="A21" s="123" t="s">
        <v>7</v>
      </c>
      <c r="B21" s="163" t="s">
        <v>44</v>
      </c>
      <c r="C21" s="241">
        <v>3</v>
      </c>
      <c r="D21" s="242" t="s">
        <v>145</v>
      </c>
      <c r="E21" s="239">
        <f t="shared" si="1"/>
        <v>1.0512000000000001E-4</v>
      </c>
      <c r="F21" s="240" t="s">
        <v>24</v>
      </c>
    </row>
    <row r="22" spans="1:8" ht="17.100000000000001" customHeight="1" thickBot="1" x14ac:dyDescent="0.3">
      <c r="A22" s="124" t="s">
        <v>7</v>
      </c>
      <c r="B22" s="186" t="s">
        <v>144</v>
      </c>
      <c r="C22" s="243">
        <v>15</v>
      </c>
      <c r="D22" s="244" t="s">
        <v>145</v>
      </c>
      <c r="E22" s="245">
        <f t="shared" si="1"/>
        <v>5.2560000000000009E-4</v>
      </c>
      <c r="F22" s="246" t="s">
        <v>24</v>
      </c>
    </row>
    <row r="23" spans="1:8" ht="17.100000000000001" customHeight="1" thickBot="1" x14ac:dyDescent="0.3">
      <c r="B23" s="164"/>
      <c r="C23" s="165"/>
      <c r="D23" s="182" t="s">
        <v>23</v>
      </c>
      <c r="E23" s="183">
        <f>SUM(E6:E22)</f>
        <v>1.3035289226277376E-2</v>
      </c>
      <c r="F23" s="102" t="s">
        <v>24</v>
      </c>
    </row>
    <row r="24" spans="1:8" ht="17.100000000000001" customHeight="1" x14ac:dyDescent="0.25">
      <c r="A24" s="449" t="s">
        <v>25</v>
      </c>
      <c r="B24" s="314"/>
      <c r="C24" s="332"/>
      <c r="D24" s="333"/>
      <c r="E24" s="334"/>
      <c r="F24" s="335"/>
      <c r="G24" s="312"/>
      <c r="H24" s="312"/>
    </row>
    <row r="25" spans="1:8" ht="17.100000000000001" customHeight="1" x14ac:dyDescent="0.25">
      <c r="A25" s="313">
        <v>1</v>
      </c>
      <c r="B25" s="337" t="s">
        <v>270</v>
      </c>
      <c r="C25" s="332"/>
      <c r="D25" s="333"/>
      <c r="E25" s="334"/>
      <c r="F25" s="335"/>
      <c r="G25" s="312"/>
      <c r="H25" s="312"/>
    </row>
    <row r="26" spans="1:8" ht="17.100000000000001" customHeight="1" x14ac:dyDescent="0.25">
      <c r="A26" s="313">
        <v>2</v>
      </c>
      <c r="B26" s="315" t="s">
        <v>176</v>
      </c>
      <c r="C26" s="332"/>
      <c r="D26" s="312"/>
      <c r="E26" s="338"/>
      <c r="F26" s="129"/>
      <c r="G26" s="312"/>
      <c r="H26" s="312"/>
    </row>
    <row r="27" spans="1:8" ht="17.100000000000001" customHeight="1" x14ac:dyDescent="0.25">
      <c r="A27" s="312"/>
      <c r="B27" s="331" t="s">
        <v>0</v>
      </c>
      <c r="C27" s="619" t="s">
        <v>2</v>
      </c>
      <c r="D27" s="619"/>
      <c r="E27" s="620" t="s">
        <v>193</v>
      </c>
      <c r="F27" s="620"/>
      <c r="G27" s="620"/>
      <c r="H27" s="620"/>
    </row>
    <row r="28" spans="1:8" ht="17.100000000000001" customHeight="1" x14ac:dyDescent="0.25">
      <c r="A28" s="312"/>
      <c r="B28" s="636" t="s">
        <v>7</v>
      </c>
      <c r="C28" s="637">
        <f>Inventory!E27</f>
        <v>8</v>
      </c>
      <c r="D28" s="638" t="str">
        <f>Inventory!F27</f>
        <v>MMBtu/hr</v>
      </c>
      <c r="E28" s="361">
        <f>C28*1000000/C31/1000*G28</f>
        <v>511.53284671532845</v>
      </c>
      <c r="F28" s="129" t="s">
        <v>49</v>
      </c>
      <c r="G28" s="341">
        <v>8760</v>
      </c>
      <c r="H28" s="341" t="s">
        <v>5</v>
      </c>
    </row>
    <row r="29" spans="1:8" ht="17.100000000000001" customHeight="1" x14ac:dyDescent="0.25">
      <c r="A29" s="312"/>
      <c r="B29" s="636"/>
      <c r="C29" s="637"/>
      <c r="D29" s="638"/>
      <c r="E29" s="362">
        <f>C28*G29/1000000</f>
        <v>7.0080000000000003E-2</v>
      </c>
      <c r="F29" s="129" t="s">
        <v>264</v>
      </c>
      <c r="G29" s="341">
        <v>8760</v>
      </c>
      <c r="H29" s="341" t="s">
        <v>5</v>
      </c>
    </row>
    <row r="30" spans="1:8" ht="17.100000000000001" customHeight="1" x14ac:dyDescent="0.25">
      <c r="A30" s="449" t="s">
        <v>168</v>
      </c>
      <c r="B30" s="339"/>
      <c r="C30" s="340"/>
      <c r="D30" s="338"/>
      <c r="E30" s="129"/>
      <c r="F30" s="341"/>
      <c r="G30" s="341"/>
      <c r="H30" s="312"/>
    </row>
    <row r="31" spans="1:8" ht="17.100000000000001" customHeight="1" x14ac:dyDescent="0.25">
      <c r="A31" s="312"/>
      <c r="B31" s="312" t="s">
        <v>11</v>
      </c>
      <c r="C31" s="341">
        <v>137000</v>
      </c>
      <c r="D31" s="312" t="s">
        <v>12</v>
      </c>
      <c r="E31" s="312"/>
      <c r="F31" s="341"/>
      <c r="G31" s="341"/>
      <c r="H31" s="312"/>
    </row>
    <row r="32" spans="1:8" x14ac:dyDescent="0.25">
      <c r="B32" s="174"/>
      <c r="C32" s="175"/>
      <c r="D32" s="247"/>
      <c r="E32" s="169"/>
      <c r="F32" s="173"/>
      <c r="G32" s="173"/>
    </row>
    <row r="33" spans="1:7" x14ac:dyDescent="0.25">
      <c r="A33" s="150"/>
      <c r="B33" s="31"/>
      <c r="C33" s="164"/>
      <c r="D33" s="170"/>
      <c r="E33" s="170"/>
      <c r="F33" s="173"/>
      <c r="G33" s="173"/>
    </row>
    <row r="34" spans="1:7" x14ac:dyDescent="0.25">
      <c r="A34" s="53"/>
      <c r="C34" s="180"/>
      <c r="D34" s="181"/>
    </row>
    <row r="35" spans="1:7" x14ac:dyDescent="0.25">
      <c r="A35" s="53"/>
      <c r="C35" s="180"/>
      <c r="D35" s="181"/>
    </row>
    <row r="36" spans="1:7" x14ac:dyDescent="0.25">
      <c r="A36" s="53"/>
      <c r="C36" s="180"/>
      <c r="D36" s="181"/>
    </row>
    <row r="37" spans="1:7" x14ac:dyDescent="0.25">
      <c r="A37" s="53"/>
      <c r="C37" s="180"/>
      <c r="D37" s="181"/>
    </row>
  </sheetData>
  <mergeCells count="12">
    <mergeCell ref="A1:H1"/>
    <mergeCell ref="C4:D5"/>
    <mergeCell ref="B4:B5"/>
    <mergeCell ref="A4:A5"/>
    <mergeCell ref="A2:H2"/>
    <mergeCell ref="E5:F5"/>
    <mergeCell ref="B28:B29"/>
    <mergeCell ref="E4:F4"/>
    <mergeCell ref="E27:H27"/>
    <mergeCell ref="C27:D27"/>
    <mergeCell ref="C28:C29"/>
    <mergeCell ref="D28:D29"/>
  </mergeCells>
  <printOptions horizontalCentered="1"/>
  <pageMargins left="0.5" right="0.5" top="0.5" bottom="0.5" header="0.3" footer="0.3"/>
  <pageSetup scale="60" orientation="landscape" r:id="rId1"/>
  <headerFooter scaleWithDoc="0">
    <oddFooter>&amp;L&amp;"Arial,Regular"&amp;9Hilcorp Alaska, LLC
Grayling Platform
Title V Renewal Application&amp;C&amp;"Arial,Regular"&amp;9Page D-&amp;P&amp;R&amp;"Arial,Regular"&amp;9December 2022</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BB0A-DD54-432C-82E9-F1D3195530B6}">
  <dimension ref="A1:G65"/>
  <sheetViews>
    <sheetView view="pageBreakPreview" zoomScaleNormal="100" zoomScaleSheetLayoutView="100" workbookViewId="0">
      <selection activeCell="A51" sqref="A51"/>
    </sheetView>
  </sheetViews>
  <sheetFormatPr defaultRowHeight="12.75" x14ac:dyDescent="0.2"/>
  <cols>
    <col min="1" max="1" width="41.28515625" style="1" customWidth="1"/>
    <col min="2" max="3" width="28.140625" style="1" customWidth="1"/>
    <col min="4" max="4" width="6.28515625" style="1" customWidth="1"/>
    <col min="5" max="5" width="22.5703125" style="1" bestFit="1" customWidth="1"/>
    <col min="6" max="6" width="13.42578125" style="1" bestFit="1" customWidth="1"/>
    <col min="7" max="16384" width="9.140625" style="1"/>
  </cols>
  <sheetData>
    <row r="1" spans="1:6" s="2" customFormat="1" ht="15.95" customHeight="1" x14ac:dyDescent="0.2">
      <c r="A1" s="639" t="s">
        <v>366</v>
      </c>
      <c r="B1" s="639"/>
      <c r="C1" s="639"/>
      <c r="D1" s="639"/>
      <c r="E1" s="639"/>
      <c r="F1" s="639"/>
    </row>
    <row r="2" spans="1:6" s="2" customFormat="1" ht="15.95" customHeight="1" x14ac:dyDescent="0.2">
      <c r="A2" s="640" t="str">
        <f>Inventory!A2</f>
        <v>Hilcorp Alaska, LLC - Grayling Platform</v>
      </c>
      <c r="B2" s="640"/>
      <c r="C2" s="640"/>
      <c r="D2" s="640"/>
      <c r="E2" s="640"/>
      <c r="F2" s="640"/>
    </row>
    <row r="3" spans="1:6" ht="15.95" customHeight="1" thickBot="1" x14ac:dyDescent="0.25">
      <c r="A3" s="33"/>
      <c r="B3" s="2"/>
      <c r="D3" s="2"/>
    </row>
    <row r="4" spans="1:6" ht="15.95" customHeight="1" thickBot="1" x14ac:dyDescent="0.25">
      <c r="A4" s="644" t="s">
        <v>291</v>
      </c>
      <c r="B4" s="645"/>
      <c r="C4" s="646"/>
      <c r="E4" s="644" t="s">
        <v>283</v>
      </c>
      <c r="F4" s="646"/>
    </row>
    <row r="5" spans="1:6" ht="15.95" customHeight="1" thickTop="1" x14ac:dyDescent="0.2">
      <c r="A5" s="647" t="s">
        <v>292</v>
      </c>
      <c r="B5" s="648"/>
      <c r="C5" s="649"/>
      <c r="E5" s="372" t="s">
        <v>335</v>
      </c>
      <c r="F5" s="415" t="s">
        <v>10</v>
      </c>
    </row>
    <row r="6" spans="1:6" ht="15.95" customHeight="1" x14ac:dyDescent="0.2">
      <c r="A6" s="372" t="s">
        <v>293</v>
      </c>
      <c r="B6" s="384">
        <f>0.0018*(0.7*($D$48-$D$49)+0.02*$B$50*$B$51)</f>
        <v>4.2083279999999966E-2</v>
      </c>
      <c r="C6" s="381" t="s">
        <v>294</v>
      </c>
      <c r="E6" s="373" t="s">
        <v>342</v>
      </c>
      <c r="F6" s="416">
        <f>Inventory!E32*42</f>
        <v>106974</v>
      </c>
    </row>
    <row r="7" spans="1:6" ht="15.95" customHeight="1" x14ac:dyDescent="0.2">
      <c r="A7" s="373" t="s">
        <v>295</v>
      </c>
      <c r="B7" s="385">
        <f>PI()/4*F8</f>
        <v>15.707963267948966</v>
      </c>
      <c r="C7" s="381" t="s">
        <v>296</v>
      </c>
      <c r="E7" s="373" t="s">
        <v>276</v>
      </c>
      <c r="F7" s="414" t="s">
        <v>277</v>
      </c>
    </row>
    <row r="8" spans="1:6" ht="15.95" customHeight="1" x14ac:dyDescent="0.2">
      <c r="A8" s="373" t="s">
        <v>297</v>
      </c>
      <c r="B8" s="386">
        <f>0.5*B7</f>
        <v>7.8539816339744828</v>
      </c>
      <c r="C8" s="381" t="s">
        <v>298</v>
      </c>
      <c r="E8" s="373" t="s">
        <v>284</v>
      </c>
      <c r="F8" s="414">
        <v>20</v>
      </c>
    </row>
    <row r="9" spans="1:6" ht="15.95" customHeight="1" x14ac:dyDescent="0.2">
      <c r="A9" s="373" t="s">
        <v>299</v>
      </c>
      <c r="B9" s="386">
        <f>($D$48+$D$49)/2</f>
        <v>495.2</v>
      </c>
      <c r="C9" s="381" t="s">
        <v>300</v>
      </c>
      <c r="E9" s="373" t="s">
        <v>285</v>
      </c>
      <c r="F9" s="414">
        <v>46.6</v>
      </c>
    </row>
    <row r="10" spans="1:6" ht="15.95" customHeight="1" x14ac:dyDescent="0.2">
      <c r="A10" s="373" t="s">
        <v>301</v>
      </c>
      <c r="B10" s="386">
        <f>B9+0.003*$B$50*$B$51</f>
        <v>496.98493999999999</v>
      </c>
      <c r="C10" s="381" t="s">
        <v>302</v>
      </c>
      <c r="E10" s="373" t="s">
        <v>286</v>
      </c>
      <c r="F10" s="414" t="s">
        <v>287</v>
      </c>
    </row>
    <row r="11" spans="1:6" ht="15.95" customHeight="1" x14ac:dyDescent="0.2">
      <c r="A11" s="373" t="s">
        <v>303</v>
      </c>
      <c r="B11" s="386">
        <f>0.4*B9+0.6*B10+0.005*$B$50*$B$51</f>
        <v>499.24586400000004</v>
      </c>
      <c r="C11" s="381" t="s">
        <v>304</v>
      </c>
      <c r="E11" s="373" t="s">
        <v>288</v>
      </c>
      <c r="F11" s="416">
        <f>+F6*Inventory!G32</f>
        <v>320922</v>
      </c>
    </row>
    <row r="12" spans="1:6" ht="15.95" customHeight="1" thickBot="1" x14ac:dyDescent="0.25">
      <c r="A12" s="373" t="s">
        <v>305</v>
      </c>
      <c r="B12" s="387">
        <f>EXP($B$55-($B$56/$B$11))</f>
        <v>3.2150610144588356E-3</v>
      </c>
      <c r="C12" s="381" t="s">
        <v>306</v>
      </c>
      <c r="E12" s="380" t="s">
        <v>289</v>
      </c>
      <c r="F12" s="417" t="s">
        <v>290</v>
      </c>
    </row>
    <row r="13" spans="1:6" ht="15.95" customHeight="1" x14ac:dyDescent="0.2">
      <c r="A13" s="413" t="s">
        <v>307</v>
      </c>
      <c r="B13" s="387">
        <f>1/(1+0.053*B12*B8)</f>
        <v>0.99866348406695682</v>
      </c>
      <c r="C13" s="414" t="s">
        <v>308</v>
      </c>
    </row>
    <row r="14" spans="1:6" ht="15.95" customHeight="1" x14ac:dyDescent="0.2">
      <c r="A14" s="413" t="s">
        <v>359</v>
      </c>
      <c r="B14" s="386">
        <f>0.7*B9+0.3*B10+0.009*$B$50*$B$51</f>
        <v>501.09030200000001</v>
      </c>
      <c r="C14" s="414" t="s">
        <v>309</v>
      </c>
    </row>
    <row r="15" spans="1:6" ht="15.95" customHeight="1" x14ac:dyDescent="0.2">
      <c r="A15" s="413" t="s">
        <v>360</v>
      </c>
      <c r="B15" s="388">
        <f>($B$54*B12)/(10.731*B14)</f>
        <v>7.7727800619018452E-5</v>
      </c>
      <c r="C15" s="414" t="s">
        <v>310</v>
      </c>
    </row>
    <row r="16" spans="1:6" ht="15.95" customHeight="1" x14ac:dyDescent="0.2">
      <c r="A16" s="413" t="s">
        <v>311</v>
      </c>
      <c r="B16" s="385">
        <f>((F8*F9)/(PI()/4))^0.5</f>
        <v>34.447920919747418</v>
      </c>
      <c r="C16" s="414" t="s">
        <v>312</v>
      </c>
    </row>
    <row r="17" spans="1:7" ht="15.95" customHeight="1" x14ac:dyDescent="0.2">
      <c r="A17" s="413" t="s">
        <v>361</v>
      </c>
      <c r="B17" s="389">
        <f>(PI()/4*(B16)^2)*B8</f>
        <v>7319.9108828642193</v>
      </c>
      <c r="C17" s="414" t="s">
        <v>313</v>
      </c>
    </row>
    <row r="18" spans="1:7" ht="15.95" customHeight="1" x14ac:dyDescent="0.2">
      <c r="A18" s="413" t="s">
        <v>314</v>
      </c>
      <c r="B18" s="386">
        <f>365*B17*B15*B6*B13</f>
        <v>8.7277799743644007</v>
      </c>
      <c r="C18" s="414" t="s">
        <v>315</v>
      </c>
    </row>
    <row r="19" spans="1:7" ht="15.95" customHeight="1" x14ac:dyDescent="0.2">
      <c r="A19" s="650" t="s">
        <v>316</v>
      </c>
      <c r="B19" s="651"/>
      <c r="C19" s="652"/>
    </row>
    <row r="20" spans="1:7" ht="15.95" customHeight="1" x14ac:dyDescent="0.2">
      <c r="A20" s="373" t="s">
        <v>317</v>
      </c>
      <c r="B20" s="386">
        <f>+(5.614*F11/42)/((PI()/4)*B16^2)</f>
        <v>46.026366952789694</v>
      </c>
      <c r="C20" s="381" t="s">
        <v>318</v>
      </c>
    </row>
    <row r="21" spans="1:7" ht="15.95" customHeight="1" x14ac:dyDescent="0.2">
      <c r="A21" s="373" t="s">
        <v>319</v>
      </c>
      <c r="B21" s="386">
        <f>(PI()/4)*F8</f>
        <v>15.707963267948966</v>
      </c>
      <c r="C21" s="381" t="s">
        <v>320</v>
      </c>
    </row>
    <row r="22" spans="1:7" ht="15.95" customHeight="1" x14ac:dyDescent="0.2">
      <c r="A22" s="373" t="s">
        <v>321</v>
      </c>
      <c r="B22" s="390">
        <v>0</v>
      </c>
      <c r="C22" s="381" t="s">
        <v>320</v>
      </c>
    </row>
    <row r="23" spans="1:7" ht="15.95" customHeight="1" x14ac:dyDescent="0.2">
      <c r="A23" s="373" t="s">
        <v>322</v>
      </c>
      <c r="B23" s="390">
        <f>+B20/(B21-B22)</f>
        <v>2.9301295252391744</v>
      </c>
      <c r="C23" s="381" t="s">
        <v>320</v>
      </c>
    </row>
    <row r="24" spans="1:7" ht="15.95" customHeight="1" x14ac:dyDescent="0.3">
      <c r="A24" s="373" t="s">
        <v>347</v>
      </c>
      <c r="B24" s="382">
        <f>IF(B23&lt;=36,1,(180+B23)/(6*B23))</f>
        <v>1</v>
      </c>
      <c r="C24" s="381" t="s">
        <v>323</v>
      </c>
    </row>
    <row r="25" spans="1:7" ht="15.95" customHeight="1" x14ac:dyDescent="0.3">
      <c r="A25" s="373" t="s">
        <v>346</v>
      </c>
      <c r="B25" s="382">
        <v>1</v>
      </c>
      <c r="C25" s="381" t="s">
        <v>323</v>
      </c>
    </row>
    <row r="26" spans="1:7" ht="15.95" customHeight="1" x14ac:dyDescent="0.2">
      <c r="A26" s="373" t="s">
        <v>324</v>
      </c>
      <c r="B26" s="383">
        <f>5.614*F11/42</f>
        <v>42896.574000000001</v>
      </c>
      <c r="C26" s="381" t="s">
        <v>325</v>
      </c>
    </row>
    <row r="27" spans="1:7" ht="15.95" customHeight="1" x14ac:dyDescent="0.2">
      <c r="A27" s="373" t="s">
        <v>326</v>
      </c>
      <c r="B27" s="386">
        <f>+B26*B24*B15*B25</f>
        <v>3.3342563511109709</v>
      </c>
      <c r="C27" s="381" t="s">
        <v>323</v>
      </c>
    </row>
    <row r="28" spans="1:7" ht="15.95" customHeight="1" x14ac:dyDescent="0.2">
      <c r="A28" s="641" t="s">
        <v>367</v>
      </c>
      <c r="B28" s="642"/>
      <c r="C28" s="643"/>
    </row>
    <row r="29" spans="1:7" ht="15.95" customHeight="1" x14ac:dyDescent="0.2">
      <c r="A29" s="373" t="s">
        <v>327</v>
      </c>
      <c r="B29" s="418">
        <f>(B18+B27)/2000</f>
        <v>6.0310181627376861E-3</v>
      </c>
      <c r="C29" s="381" t="s">
        <v>323</v>
      </c>
    </row>
    <row r="30" spans="1:7" ht="15.95" customHeight="1" x14ac:dyDescent="0.2">
      <c r="A30" s="641" t="s">
        <v>328</v>
      </c>
      <c r="B30" s="642"/>
      <c r="C30" s="643"/>
    </row>
    <row r="31" spans="1:7" ht="15.95" customHeight="1" x14ac:dyDescent="0.2">
      <c r="A31" s="374" t="s">
        <v>278</v>
      </c>
      <c r="B31" s="388">
        <f>$B$29*B41/100</f>
        <v>1.5499716678235852E-4</v>
      </c>
      <c r="C31" s="378"/>
      <c r="G31" s="375"/>
    </row>
    <row r="32" spans="1:7" ht="15.95" customHeight="1" x14ac:dyDescent="0.2">
      <c r="A32" s="374" t="s">
        <v>279</v>
      </c>
      <c r="B32" s="388">
        <f t="shared" ref="B32:B35" si="0">$B$29*B42/100</f>
        <v>3.015509081368843E-6</v>
      </c>
      <c r="C32" s="378"/>
      <c r="G32" s="375"/>
    </row>
    <row r="33" spans="1:7" ht="15.95" customHeight="1" x14ac:dyDescent="0.2">
      <c r="A33" s="374" t="s">
        <v>275</v>
      </c>
      <c r="B33" s="388">
        <f t="shared" si="0"/>
        <v>1.9299258120760598E-5</v>
      </c>
      <c r="C33" s="378"/>
      <c r="G33" s="375"/>
    </row>
    <row r="34" spans="1:7" ht="15.95" customHeight="1" x14ac:dyDescent="0.2">
      <c r="A34" s="374" t="s">
        <v>280</v>
      </c>
      <c r="B34" s="388">
        <f t="shared" si="0"/>
        <v>3.3834011892958419E-4</v>
      </c>
      <c r="C34" s="378"/>
      <c r="G34" s="375"/>
    </row>
    <row r="35" spans="1:7" ht="15.95" customHeight="1" x14ac:dyDescent="0.2">
      <c r="A35" s="374" t="s">
        <v>35</v>
      </c>
      <c r="B35" s="388">
        <f t="shared" si="0"/>
        <v>1.2423897415239635E-4</v>
      </c>
      <c r="C35" s="378"/>
      <c r="G35" s="375"/>
    </row>
    <row r="36" spans="1:7" ht="15.95" customHeight="1" thickBot="1" x14ac:dyDescent="0.25">
      <c r="A36" s="376" t="s">
        <v>329</v>
      </c>
      <c r="B36" s="391">
        <f>$B$29*B46/100</f>
        <v>7.8403236115589921E-6</v>
      </c>
      <c r="C36" s="379"/>
      <c r="G36" s="375"/>
    </row>
    <row r="37" spans="1:7" ht="15.95" customHeight="1" x14ac:dyDescent="0.2">
      <c r="A37" s="129"/>
      <c r="B37" s="419"/>
      <c r="C37" s="2"/>
      <c r="G37" s="375"/>
    </row>
    <row r="38" spans="1:7" ht="15" customHeight="1" x14ac:dyDescent="0.2">
      <c r="A38" s="451" t="s">
        <v>25</v>
      </c>
      <c r="B38" s="314"/>
      <c r="C38" s="312"/>
      <c r="D38" s="314"/>
      <c r="E38" s="312"/>
    </row>
    <row r="39" spans="1:7" ht="15" customHeight="1" x14ac:dyDescent="0.2">
      <c r="A39" s="377" t="s">
        <v>369</v>
      </c>
      <c r="B39" s="314"/>
      <c r="C39" s="312"/>
      <c r="D39" s="314"/>
      <c r="E39" s="312"/>
    </row>
    <row r="40" spans="1:7" s="42" customFormat="1" ht="15" customHeight="1" x14ac:dyDescent="0.2">
      <c r="A40" s="377" t="s">
        <v>370</v>
      </c>
      <c r="B40" s="398" t="s">
        <v>10</v>
      </c>
      <c r="C40" s="398"/>
      <c r="D40" s="398"/>
      <c r="E40" s="336"/>
    </row>
    <row r="41" spans="1:7" s="42" customFormat="1" ht="15" customHeight="1" x14ac:dyDescent="0.2">
      <c r="A41" s="338" t="s">
        <v>341</v>
      </c>
      <c r="B41" s="398">
        <v>2.57</v>
      </c>
      <c r="C41" s="398"/>
      <c r="D41" s="398"/>
      <c r="E41" s="336"/>
    </row>
    <row r="42" spans="1:7" s="42" customFormat="1" ht="15" customHeight="1" x14ac:dyDescent="0.2">
      <c r="A42" s="338" t="s">
        <v>340</v>
      </c>
      <c r="B42" s="398">
        <v>0.05</v>
      </c>
      <c r="C42" s="398"/>
      <c r="D42" s="398"/>
      <c r="E42" s="336"/>
    </row>
    <row r="43" spans="1:7" s="42" customFormat="1" ht="15" customHeight="1" x14ac:dyDescent="0.2">
      <c r="A43" s="338" t="s">
        <v>339</v>
      </c>
      <c r="B43" s="398">
        <v>0.32</v>
      </c>
      <c r="C43" s="398"/>
      <c r="D43" s="398"/>
      <c r="E43" s="336"/>
    </row>
    <row r="44" spans="1:7" s="42" customFormat="1" ht="15" customHeight="1" x14ac:dyDescent="0.2">
      <c r="A44" s="338" t="s">
        <v>338</v>
      </c>
      <c r="B44" s="398">
        <v>5.61</v>
      </c>
      <c r="C44" s="398"/>
      <c r="D44" s="398"/>
      <c r="E44" s="336"/>
    </row>
    <row r="45" spans="1:7" s="42" customFormat="1" ht="15" customHeight="1" x14ac:dyDescent="0.2">
      <c r="A45" s="338" t="s">
        <v>336</v>
      </c>
      <c r="B45" s="398">
        <v>2.06</v>
      </c>
      <c r="C45" s="398"/>
      <c r="D45" s="398"/>
      <c r="E45" s="336"/>
    </row>
    <row r="46" spans="1:7" s="42" customFormat="1" ht="15" customHeight="1" x14ac:dyDescent="0.2">
      <c r="A46" s="338" t="s">
        <v>337</v>
      </c>
      <c r="B46" s="398">
        <v>0.13</v>
      </c>
      <c r="C46" s="398"/>
      <c r="D46" s="398"/>
      <c r="E46" s="336"/>
    </row>
    <row r="47" spans="1:7" s="42" customFormat="1" ht="15" customHeight="1" x14ac:dyDescent="0.2">
      <c r="A47" s="377" t="s">
        <v>368</v>
      </c>
      <c r="B47" s="398"/>
      <c r="C47" s="336"/>
      <c r="D47" s="398"/>
      <c r="E47" s="336"/>
    </row>
    <row r="48" spans="1:7" s="42" customFormat="1" ht="15" customHeight="1" x14ac:dyDescent="0.2">
      <c r="A48" s="338" t="s">
        <v>330</v>
      </c>
      <c r="B48" s="338">
        <v>43.4</v>
      </c>
      <c r="C48" s="336" t="s">
        <v>348</v>
      </c>
      <c r="D48" s="338">
        <f>B48+460</f>
        <v>503.4</v>
      </c>
      <c r="E48" s="336" t="s">
        <v>349</v>
      </c>
    </row>
    <row r="49" spans="1:5" s="42" customFormat="1" ht="15" customHeight="1" x14ac:dyDescent="0.2">
      <c r="A49" s="338" t="s">
        <v>331</v>
      </c>
      <c r="B49" s="361">
        <v>27</v>
      </c>
      <c r="C49" s="336" t="s">
        <v>348</v>
      </c>
      <c r="D49" s="338">
        <f>B49+460</f>
        <v>487</v>
      </c>
      <c r="E49" s="336" t="s">
        <v>349</v>
      </c>
    </row>
    <row r="50" spans="1:5" s="42" customFormat="1" ht="15" customHeight="1" x14ac:dyDescent="0.2">
      <c r="A50" s="399" t="s">
        <v>332</v>
      </c>
      <c r="B50" s="338">
        <v>0.71</v>
      </c>
      <c r="C50" s="336"/>
      <c r="D50" s="332" t="s">
        <v>333</v>
      </c>
      <c r="E50" s="336"/>
    </row>
    <row r="51" spans="1:5" s="42" customFormat="1" ht="15" customHeight="1" x14ac:dyDescent="0.2">
      <c r="A51" s="338" t="s">
        <v>334</v>
      </c>
      <c r="B51" s="338">
        <v>838</v>
      </c>
      <c r="C51" s="336" t="s">
        <v>281</v>
      </c>
      <c r="D51" s="398"/>
      <c r="E51" s="336"/>
    </row>
    <row r="52" spans="1:5" s="42" customFormat="1" ht="15" customHeight="1" x14ac:dyDescent="0.2">
      <c r="A52" s="377" t="s">
        <v>371</v>
      </c>
      <c r="B52" s="338"/>
      <c r="C52" s="336"/>
      <c r="D52" s="398"/>
      <c r="E52" s="336"/>
    </row>
    <row r="53" spans="1:5" s="42" customFormat="1" ht="15" customHeight="1" x14ac:dyDescent="0.2">
      <c r="A53" s="377"/>
      <c r="B53" s="398" t="s">
        <v>10</v>
      </c>
      <c r="C53" s="398"/>
      <c r="D53" s="398"/>
      <c r="E53" s="336"/>
    </row>
    <row r="54" spans="1:5" s="42" customFormat="1" ht="15" customHeight="1" x14ac:dyDescent="0.2">
      <c r="A54" s="338" t="s">
        <v>343</v>
      </c>
      <c r="B54" s="398">
        <v>130</v>
      </c>
      <c r="C54" s="398" t="s">
        <v>358</v>
      </c>
      <c r="E54" s="336"/>
    </row>
    <row r="55" spans="1:5" s="42" customFormat="1" ht="15" customHeight="1" x14ac:dyDescent="0.2">
      <c r="A55" s="338" t="s">
        <v>344</v>
      </c>
      <c r="B55" s="398">
        <v>12.101000000000001</v>
      </c>
      <c r="C55" s="398" t="s">
        <v>358</v>
      </c>
      <c r="E55" s="336"/>
    </row>
    <row r="56" spans="1:5" s="42" customFormat="1" ht="15" customHeight="1" x14ac:dyDescent="0.2">
      <c r="A56" s="338" t="s">
        <v>350</v>
      </c>
      <c r="B56" s="400">
        <v>8907</v>
      </c>
      <c r="C56" s="398" t="s">
        <v>358</v>
      </c>
      <c r="E56" s="336"/>
    </row>
    <row r="57" spans="1:5" s="42" customFormat="1" ht="15" customHeight="1" x14ac:dyDescent="0.2">
      <c r="A57" s="338" t="s">
        <v>345</v>
      </c>
      <c r="B57" s="400" t="s">
        <v>7</v>
      </c>
      <c r="C57" s="398"/>
      <c r="D57" s="398"/>
      <c r="E57" s="401"/>
    </row>
    <row r="58" spans="1:5" s="42" customFormat="1" ht="15" customHeight="1" x14ac:dyDescent="0.2">
      <c r="A58" s="336" t="s">
        <v>372</v>
      </c>
      <c r="B58" s="338"/>
      <c r="C58" s="336"/>
      <c r="D58" s="398"/>
      <c r="E58" s="336"/>
    </row>
    <row r="59" spans="1:5" ht="15.95" customHeight="1" x14ac:dyDescent="0.2">
      <c r="A59" s="312"/>
      <c r="B59" s="129"/>
      <c r="C59" s="312"/>
      <c r="D59" s="314"/>
      <c r="E59" s="312"/>
    </row>
    <row r="60" spans="1:5" ht="15.95" customHeight="1" x14ac:dyDescent="0.2">
      <c r="B60" s="314"/>
      <c r="C60" s="312"/>
      <c r="D60" s="314"/>
      <c r="E60" s="312"/>
    </row>
    <row r="61" spans="1:5" ht="15.95" customHeight="1" x14ac:dyDescent="0.2">
      <c r="B61" s="314"/>
      <c r="C61" s="312"/>
      <c r="D61" s="314"/>
      <c r="E61" s="312"/>
    </row>
    <row r="62" spans="1:5" ht="15.95" customHeight="1" x14ac:dyDescent="0.2"/>
    <row r="63" spans="1:5" ht="15.95" customHeight="1" x14ac:dyDescent="0.2"/>
    <row r="64" spans="1:5" ht="15.95" customHeight="1" x14ac:dyDescent="0.2"/>
    <row r="65" ht="15.95" customHeight="1" x14ac:dyDescent="0.2"/>
  </sheetData>
  <mergeCells count="8">
    <mergeCell ref="A1:F1"/>
    <mergeCell ref="A2:F2"/>
    <mergeCell ref="A28:C28"/>
    <mergeCell ref="A30:C30"/>
    <mergeCell ref="A4:C4"/>
    <mergeCell ref="A5:C5"/>
    <mergeCell ref="A19:C19"/>
    <mergeCell ref="E4:F4"/>
  </mergeCells>
  <printOptions horizontalCentered="1"/>
  <pageMargins left="0.5" right="0.5" top="0.5" bottom="0.5" header="0.3" footer="0.3"/>
  <pageSetup scale="60" orientation="landscape" r:id="rId1"/>
  <headerFooter scaleWithDoc="0">
    <oddFooter>&amp;L&amp;"Arial,Regular"&amp;9Hilcorp Alaska, LLC
Grayling Platform
Title V Renewal Application&amp;C&amp;"Arial,Regular"&amp;9Page D-&amp;P&amp;R&amp;"Arial,Regular"&amp;9December 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44D51-3645-40DF-B39B-62146A50DBE8}">
  <dimension ref="A1:Q59"/>
  <sheetViews>
    <sheetView view="pageBreakPreview" zoomScale="90" zoomScaleNormal="100" zoomScaleSheetLayoutView="90" workbookViewId="0">
      <selection activeCell="F15" sqref="F15"/>
    </sheetView>
  </sheetViews>
  <sheetFormatPr defaultColWidth="9.140625" defaultRowHeight="12.75" x14ac:dyDescent="0.2"/>
  <cols>
    <col min="1" max="1" width="11.42578125" style="2" customWidth="1"/>
    <col min="2" max="2" width="41.28515625" style="23" bestFit="1" customWidth="1"/>
    <col min="3" max="3" width="10.85546875" style="301" customWidth="1"/>
    <col min="4" max="4" width="11.28515625" style="301" customWidth="1"/>
    <col min="5" max="5" width="9.140625" style="301"/>
    <col min="6" max="7" width="9.42578125" style="301" bestFit="1" customWidth="1"/>
    <col min="8" max="10" width="9.42578125" style="305" bestFit="1" customWidth="1"/>
    <col min="11" max="14" width="9.140625" style="305"/>
    <col min="15" max="15" width="13.85546875" style="305" bestFit="1" customWidth="1"/>
    <col min="16" max="16" width="9.140625" style="305"/>
    <col min="17" max="16384" width="9.140625" style="1"/>
  </cols>
  <sheetData>
    <row r="1" spans="1:17" ht="17.100000000000001" customHeight="1" x14ac:dyDescent="0.2">
      <c r="A1" s="517" t="s">
        <v>226</v>
      </c>
      <c r="B1" s="517"/>
      <c r="C1" s="517"/>
      <c r="D1" s="517"/>
      <c r="E1" s="517"/>
      <c r="F1" s="517"/>
      <c r="G1" s="517"/>
      <c r="H1" s="517"/>
      <c r="I1" s="517"/>
      <c r="J1" s="517"/>
      <c r="K1" s="517"/>
      <c r="L1" s="517"/>
      <c r="M1" s="517"/>
      <c r="N1" s="517"/>
      <c r="O1" s="517"/>
      <c r="P1" s="517"/>
      <c r="Q1" s="517"/>
    </row>
    <row r="2" spans="1:17" ht="17.100000000000001" customHeight="1" x14ac:dyDescent="0.2">
      <c r="A2" s="517" t="str">
        <f>Inventory!A2</f>
        <v>Hilcorp Alaska, LLC - Grayling Platform</v>
      </c>
      <c r="B2" s="517"/>
      <c r="C2" s="517"/>
      <c r="D2" s="517"/>
      <c r="E2" s="517"/>
      <c r="F2" s="517"/>
      <c r="G2" s="517"/>
      <c r="H2" s="517"/>
      <c r="I2" s="517"/>
      <c r="J2" s="517"/>
      <c r="K2" s="517"/>
      <c r="L2" s="517"/>
      <c r="M2" s="517"/>
      <c r="N2" s="517"/>
      <c r="O2" s="517"/>
      <c r="P2" s="517"/>
      <c r="Q2" s="517"/>
    </row>
    <row r="3" spans="1:17" ht="17.100000000000001" customHeight="1" thickBot="1" x14ac:dyDescent="0.25">
      <c r="A3" s="52"/>
      <c r="B3" s="52"/>
      <c r="C3" s="288"/>
      <c r="D3" s="288"/>
      <c r="E3" s="288"/>
      <c r="F3" s="288"/>
      <c r="G3" s="288"/>
      <c r="H3" s="288"/>
      <c r="I3" s="288"/>
      <c r="J3" s="288"/>
      <c r="K3" s="288"/>
      <c r="L3" s="288"/>
      <c r="M3" s="288"/>
      <c r="N3" s="288"/>
      <c r="O3" s="288"/>
      <c r="P3" s="288"/>
    </row>
    <row r="4" spans="1:17" ht="17.100000000000001" customHeight="1" x14ac:dyDescent="0.2">
      <c r="A4" s="479" t="s">
        <v>45</v>
      </c>
      <c r="B4" s="477" t="s">
        <v>28</v>
      </c>
      <c r="C4" s="514" t="s">
        <v>227</v>
      </c>
      <c r="D4" s="515"/>
      <c r="E4" s="515"/>
      <c r="F4" s="515"/>
      <c r="G4" s="515"/>
      <c r="H4" s="515"/>
      <c r="I4" s="515"/>
      <c r="J4" s="515"/>
      <c r="K4" s="515"/>
      <c r="L4" s="515"/>
      <c r="M4" s="515"/>
      <c r="N4" s="515"/>
      <c r="O4" s="515"/>
      <c r="P4" s="515"/>
      <c r="Q4" s="481" t="s">
        <v>23</v>
      </c>
    </row>
    <row r="5" spans="1:17" ht="31.5" customHeight="1" thickBot="1" x14ac:dyDescent="0.25">
      <c r="A5" s="480"/>
      <c r="B5" s="478"/>
      <c r="C5" s="289" t="s">
        <v>46</v>
      </c>
      <c r="D5" s="289" t="s">
        <v>47</v>
      </c>
      <c r="E5" s="289" t="s">
        <v>122</v>
      </c>
      <c r="F5" s="289" t="s">
        <v>124</v>
      </c>
      <c r="G5" s="289" t="s">
        <v>126</v>
      </c>
      <c r="H5" s="289" t="s">
        <v>127</v>
      </c>
      <c r="I5" s="289" t="s">
        <v>129</v>
      </c>
      <c r="J5" s="289" t="s">
        <v>130</v>
      </c>
      <c r="K5" s="289" t="s">
        <v>136</v>
      </c>
      <c r="L5" s="289" t="s">
        <v>138</v>
      </c>
      <c r="M5" s="290" t="s">
        <v>149</v>
      </c>
      <c r="N5" s="289" t="s">
        <v>139</v>
      </c>
      <c r="O5" s="289" t="s">
        <v>141</v>
      </c>
      <c r="P5" s="289" t="s">
        <v>128</v>
      </c>
      <c r="Q5" s="516"/>
    </row>
    <row r="6" spans="1:17" ht="17.100000000000001" customHeight="1" thickTop="1" x14ac:dyDescent="0.2">
      <c r="A6" s="67">
        <v>75070</v>
      </c>
      <c r="B6" s="68" t="s">
        <v>29</v>
      </c>
      <c r="C6" s="291">
        <f>'HAPs - Turbines'!E6</f>
        <v>7.064064000000001E-3</v>
      </c>
      <c r="D6" s="291">
        <f>C6</f>
        <v>7.064064000000001E-3</v>
      </c>
      <c r="E6" s="291">
        <f>D6</f>
        <v>7.064064000000001E-3</v>
      </c>
      <c r="F6" s="291">
        <f>'HAPs - Turbines'!G6</f>
        <v>2.1465153600000002E-3</v>
      </c>
      <c r="G6" s="291">
        <f>'HAPs - Turbines'!I6</f>
        <v>2.2596595199999999E-3</v>
      </c>
      <c r="H6" s="292">
        <f>'HAPs - Turbines'!K6</f>
        <v>2.1184308E-3</v>
      </c>
      <c r="I6" s="292">
        <f>G6</f>
        <v>2.2596595199999999E-3</v>
      </c>
      <c r="J6" s="292">
        <f>I6</f>
        <v>2.2596595199999999E-3</v>
      </c>
      <c r="K6" s="292">
        <f>'HAPs - Diesel Engines &lt; 600 hp'!E6</f>
        <v>2.7381899999999997E-3</v>
      </c>
      <c r="L6" s="292">
        <f>'HAPs - Diesel Engines &lt; 600 hp'!G6</f>
        <v>2.013375E-3</v>
      </c>
      <c r="M6" s="292">
        <f>'HAPs - Diesel Engines &gt; 600'!E6</f>
        <v>3.0208500000000001E-5</v>
      </c>
      <c r="N6" s="292">
        <f>'HAPs - Diesel Engines &lt; 600 hp'!I6</f>
        <v>6.8454749999999993E-4</v>
      </c>
      <c r="O6" s="292">
        <f>'HAPs - Flares'!E6</f>
        <v>8.4752999999999993E-5</v>
      </c>
      <c r="P6" s="292">
        <f>'HAPs - Turbines'!M6</f>
        <v>1.377716322528E-2</v>
      </c>
      <c r="Q6" s="206">
        <f t="shared" ref="Q6:Q14" si="0">SUM(C6:P6)</f>
        <v>5.1564353945279993E-2</v>
      </c>
    </row>
    <row r="7" spans="1:17" ht="17.100000000000001" customHeight="1" x14ac:dyDescent="0.2">
      <c r="A7" s="60">
        <v>107028</v>
      </c>
      <c r="B7" s="57" t="s">
        <v>30</v>
      </c>
      <c r="C7" s="291">
        <f>'HAPs - Turbines'!E7</f>
        <v>1.1302502400000001E-3</v>
      </c>
      <c r="D7" s="291">
        <f t="shared" ref="D7:E17" si="1">C7</f>
        <v>1.1302502400000001E-3</v>
      </c>
      <c r="E7" s="291">
        <f t="shared" si="1"/>
        <v>1.1302502400000001E-3</v>
      </c>
      <c r="F7" s="291">
        <f>'HAPs - Turbines'!G7</f>
        <v>3.4344245759999995E-4</v>
      </c>
      <c r="G7" s="291">
        <f>'HAPs - Turbines'!I7</f>
        <v>3.6154552319999993E-4</v>
      </c>
      <c r="H7" s="292">
        <f>'HAPs - Turbines'!K7</f>
        <v>3.3894892799999997E-4</v>
      </c>
      <c r="I7" s="292">
        <f t="shared" ref="I7:I17" si="2">G7</f>
        <v>3.6154552319999993E-4</v>
      </c>
      <c r="J7" s="292">
        <f t="shared" ref="J7:J17" si="3">I7</f>
        <v>3.6154552319999993E-4</v>
      </c>
      <c r="K7" s="292">
        <f>'HAPs - Diesel Engines &lt; 600 hp'!E7</f>
        <v>3.3022500000000002E-4</v>
      </c>
      <c r="L7" s="292">
        <f>'HAPs - Diesel Engines &lt; 600 hp'!G7</f>
        <v>2.428125E-4</v>
      </c>
      <c r="M7" s="292">
        <f>'HAPs - Diesel Engines &gt; 600'!E7</f>
        <v>9.446150000000001E-6</v>
      </c>
      <c r="N7" s="292">
        <f>'HAPs - Diesel Engines &lt; 600 hp'!I7</f>
        <v>8.2556250000000004E-5</v>
      </c>
      <c r="O7" s="292">
        <f>'HAPs - Flares'!E7</f>
        <v>1.9710000000000003E-5</v>
      </c>
      <c r="P7" s="292">
        <f>'HAPs - Turbines'!M7</f>
        <v>2.2043461160447999E-3</v>
      </c>
      <c r="Q7" s="206">
        <f t="shared" si="0"/>
        <v>8.0468746912448E-3</v>
      </c>
    </row>
    <row r="8" spans="1:17" ht="17.100000000000001" customHeight="1" x14ac:dyDescent="0.2">
      <c r="A8" s="5">
        <v>71432</v>
      </c>
      <c r="B8" s="58" t="s">
        <v>26</v>
      </c>
      <c r="C8" s="291">
        <f>'HAPs - Turbines'!E8</f>
        <v>2.1192192000000004E-3</v>
      </c>
      <c r="D8" s="291">
        <f t="shared" si="1"/>
        <v>2.1192192000000004E-3</v>
      </c>
      <c r="E8" s="291">
        <f t="shared" si="1"/>
        <v>2.1192192000000004E-3</v>
      </c>
      <c r="F8" s="291">
        <f>'HAPs - Turbines'!G8</f>
        <v>6.4395460800000003E-4</v>
      </c>
      <c r="G8" s="291">
        <f>'HAPs - Turbines'!I8</f>
        <v>6.7789785599999995E-4</v>
      </c>
      <c r="H8" s="292">
        <f>'HAPs - Turbines'!K8</f>
        <v>6.3552924000000004E-4</v>
      </c>
      <c r="I8" s="292">
        <f t="shared" si="2"/>
        <v>6.7789785599999995E-4</v>
      </c>
      <c r="J8" s="292">
        <f t="shared" si="3"/>
        <v>6.7789785599999995E-4</v>
      </c>
      <c r="K8" s="292">
        <f>'HAPs - Diesel Engines &lt; 600 hp'!E8</f>
        <v>3.33081E-3</v>
      </c>
      <c r="L8" s="292">
        <f>'HAPs - Diesel Engines &lt; 600 hp'!G8</f>
        <v>2.4491249999999999E-3</v>
      </c>
      <c r="M8" s="292">
        <f>'HAPs - Diesel Engines &gt; 600'!E8</f>
        <v>9.3022999999999999E-4</v>
      </c>
      <c r="N8" s="292">
        <f>'HAPs - Diesel Engines &lt; 600 hp'!I8</f>
        <v>8.3270250000000001E-4</v>
      </c>
      <c r="O8" s="292">
        <f>'HAPs - Flares'!E8</f>
        <v>3.1338900000000002E-4</v>
      </c>
      <c r="P8" s="292">
        <f>'HAPs - Turbines'!M8</f>
        <v>4.1331489675839987E-3</v>
      </c>
      <c r="Q8" s="206">
        <f t="shared" si="0"/>
        <v>2.1660240483584003E-2</v>
      </c>
    </row>
    <row r="9" spans="1:17" ht="17.100000000000001" customHeight="1" x14ac:dyDescent="0.2">
      <c r="A9" s="60">
        <v>106990</v>
      </c>
      <c r="B9" s="58" t="s">
        <v>31</v>
      </c>
      <c r="C9" s="291">
        <f>'HAPs - Turbines'!E9</f>
        <v>7.5938688000000006E-5</v>
      </c>
      <c r="D9" s="291">
        <f t="shared" si="1"/>
        <v>7.5938688000000006E-5</v>
      </c>
      <c r="E9" s="291">
        <f t="shared" si="1"/>
        <v>7.5938688000000006E-5</v>
      </c>
      <c r="F9" s="291">
        <f>'HAPs - Turbines'!G9</f>
        <v>2.3075040120000003E-5</v>
      </c>
      <c r="G9" s="291">
        <f>'HAPs - Turbines'!I9</f>
        <v>2.4291339839999998E-5</v>
      </c>
      <c r="H9" s="292">
        <f>'HAPs - Turbines'!K9</f>
        <v>2.27731311E-5</v>
      </c>
      <c r="I9" s="292">
        <f t="shared" si="2"/>
        <v>2.4291339839999998E-5</v>
      </c>
      <c r="J9" s="292">
        <f t="shared" si="3"/>
        <v>2.4291339839999998E-5</v>
      </c>
      <c r="K9" s="292">
        <f>'HAPs - Diesel Engines &lt; 600 hp'!E9</f>
        <v>1.3958700000000002E-4</v>
      </c>
      <c r="L9" s="292">
        <f>'HAPs - Diesel Engines &lt; 600 hp'!G9</f>
        <v>1.0263750000000001E-4</v>
      </c>
      <c r="M9" s="292" t="s">
        <v>203</v>
      </c>
      <c r="N9" s="292">
        <f>'HAPs - Diesel Engines &lt; 600 hp'!I9</f>
        <v>3.4896750000000004E-5</v>
      </c>
      <c r="O9" s="292" t="s">
        <v>203</v>
      </c>
      <c r="P9" s="292">
        <f>'HAPs - Turbines'!M9</f>
        <v>1.4810450467175998E-4</v>
      </c>
      <c r="Q9" s="206">
        <f t="shared" si="0"/>
        <v>7.7176400941176009E-4</v>
      </c>
    </row>
    <row r="10" spans="1:17" ht="17.100000000000001" customHeight="1" x14ac:dyDescent="0.2">
      <c r="A10" s="60">
        <v>100414</v>
      </c>
      <c r="B10" s="57" t="s">
        <v>32</v>
      </c>
      <c r="C10" s="291">
        <f>'HAPs - Turbines'!E10</f>
        <v>5.6512511999999996E-3</v>
      </c>
      <c r="D10" s="291">
        <f t="shared" si="1"/>
        <v>5.6512511999999996E-3</v>
      </c>
      <c r="E10" s="291">
        <f t="shared" si="1"/>
        <v>5.6512511999999996E-3</v>
      </c>
      <c r="F10" s="291">
        <f>'HAPs - Turbines'!G10</f>
        <v>1.7172122879999998E-3</v>
      </c>
      <c r="G10" s="291">
        <f>'HAPs - Turbines'!I10</f>
        <v>1.8077276159999998E-3</v>
      </c>
      <c r="H10" s="292">
        <f>'HAPs - Turbines'!K10</f>
        <v>1.6947446399999998E-3</v>
      </c>
      <c r="I10" s="292">
        <f t="shared" si="2"/>
        <v>1.8077276159999998E-3</v>
      </c>
      <c r="J10" s="292">
        <f t="shared" si="3"/>
        <v>1.8077276159999998E-3</v>
      </c>
      <c r="K10" s="292" t="s">
        <v>203</v>
      </c>
      <c r="L10" s="292" t="s">
        <v>203</v>
      </c>
      <c r="M10" s="292" t="s">
        <v>203</v>
      </c>
      <c r="N10" s="292" t="s">
        <v>203</v>
      </c>
      <c r="O10" s="292">
        <f>'HAPs - Flares'!E9</f>
        <v>2.8461240000000002E-3</v>
      </c>
      <c r="P10" s="292">
        <f>'HAPs - Turbines'!M10</f>
        <v>1.1021730580223998E-2</v>
      </c>
      <c r="Q10" s="206">
        <f t="shared" si="0"/>
        <v>3.9656747956223995E-2</v>
      </c>
    </row>
    <row r="11" spans="1:17" ht="17.100000000000001" customHeight="1" x14ac:dyDescent="0.2">
      <c r="A11" s="60">
        <v>5000</v>
      </c>
      <c r="B11" s="57" t="s">
        <v>33</v>
      </c>
      <c r="C11" s="293">
        <f>'HAPs - Turbines'!E11</f>
        <v>0.12538713600000001</v>
      </c>
      <c r="D11" s="293">
        <f t="shared" si="1"/>
        <v>0.12538713600000001</v>
      </c>
      <c r="E11" s="293">
        <f t="shared" si="1"/>
        <v>0.12538713600000001</v>
      </c>
      <c r="F11" s="291">
        <f>'HAPs - Turbines'!G11</f>
        <v>3.8100647639999999E-2</v>
      </c>
      <c r="G11" s="291">
        <f>'HAPs - Turbines'!I11</f>
        <v>4.0108956479999999E-2</v>
      </c>
      <c r="H11" s="292">
        <f>'HAPs - Turbines'!K11</f>
        <v>3.7602146699999998E-2</v>
      </c>
      <c r="I11" s="292">
        <f t="shared" si="2"/>
        <v>4.0108956479999999E-2</v>
      </c>
      <c r="J11" s="292">
        <f t="shared" si="3"/>
        <v>4.0108956479999999E-2</v>
      </c>
      <c r="K11" s="292">
        <f>'HAPs - Diesel Engines &lt; 600 hp'!E10</f>
        <v>4.2126000000000004E-3</v>
      </c>
      <c r="L11" s="292">
        <f>'HAPs - Diesel Engines &lt; 600 hp'!G10</f>
        <v>3.0975E-3</v>
      </c>
      <c r="M11" s="292">
        <f>'HAPs - Diesel Engines &gt; 600'!E9</f>
        <v>9.4581375E-5</v>
      </c>
      <c r="N11" s="292">
        <f>'HAPs - Diesel Engines &lt; 600 hp'!I10</f>
        <v>1.0531500000000001E-3</v>
      </c>
      <c r="O11" s="292">
        <f>'HAPs - Flares'!E10</f>
        <v>2.3040990000000004E-3</v>
      </c>
      <c r="P11" s="294">
        <f>'HAPs - Turbines'!M11</f>
        <v>0.24454464724871997</v>
      </c>
      <c r="Q11" s="204">
        <f t="shared" si="0"/>
        <v>0.82749764940371984</v>
      </c>
    </row>
    <row r="12" spans="1:17" ht="17.100000000000001" customHeight="1" x14ac:dyDescent="0.2">
      <c r="A12" s="60">
        <v>110543</v>
      </c>
      <c r="B12" s="58" t="s">
        <v>27</v>
      </c>
      <c r="C12" s="295" t="s">
        <v>203</v>
      </c>
      <c r="D12" s="295" t="s">
        <v>203</v>
      </c>
      <c r="E12" s="295" t="s">
        <v>203</v>
      </c>
      <c r="F12" s="295" t="s">
        <v>203</v>
      </c>
      <c r="G12" s="295" t="s">
        <v>203</v>
      </c>
      <c r="H12" s="295" t="s">
        <v>203</v>
      </c>
      <c r="I12" s="295" t="s">
        <v>203</v>
      </c>
      <c r="J12" s="295" t="s">
        <v>203</v>
      </c>
      <c r="K12" s="292" t="s">
        <v>203</v>
      </c>
      <c r="L12" s="292" t="s">
        <v>203</v>
      </c>
      <c r="M12" s="292" t="s">
        <v>203</v>
      </c>
      <c r="N12" s="292" t="s">
        <v>203</v>
      </c>
      <c r="O12" s="292">
        <f>'HAPs - Flares'!E11</f>
        <v>5.7159000000000006E-5</v>
      </c>
      <c r="P12" s="292" t="s">
        <v>203</v>
      </c>
      <c r="Q12" s="206">
        <f t="shared" si="0"/>
        <v>5.7159000000000006E-5</v>
      </c>
    </row>
    <row r="13" spans="1:17" ht="17.100000000000001" customHeight="1" x14ac:dyDescent="0.2">
      <c r="A13" s="60" t="s">
        <v>7</v>
      </c>
      <c r="B13" s="58" t="s">
        <v>34</v>
      </c>
      <c r="C13" s="291">
        <f>'HAPs - Turbines'!E12</f>
        <v>3.8852352000000003E-4</v>
      </c>
      <c r="D13" s="291">
        <f t="shared" si="1"/>
        <v>3.8852352000000003E-4</v>
      </c>
      <c r="E13" s="291">
        <f t="shared" si="1"/>
        <v>3.8852352000000003E-4</v>
      </c>
      <c r="F13" s="291">
        <f>'HAPs - Turbines'!G12</f>
        <v>1.1805834480000001E-4</v>
      </c>
      <c r="G13" s="291">
        <f>'HAPs - Turbines'!I12</f>
        <v>1.2428127360000001E-4</v>
      </c>
      <c r="H13" s="292">
        <f>'HAPs - Turbines'!K12</f>
        <v>1.1651369400000001E-4</v>
      </c>
      <c r="I13" s="292">
        <f t="shared" si="2"/>
        <v>1.2428127360000001E-4</v>
      </c>
      <c r="J13" s="292">
        <f t="shared" si="3"/>
        <v>1.2428127360000001E-4</v>
      </c>
      <c r="K13" s="292">
        <f>'HAPs - Diesel Engines &lt; 600 hp'!E11</f>
        <v>5.9975999999999996E-4</v>
      </c>
      <c r="L13" s="292">
        <f>'HAPs - Diesel Engines &lt; 600 hp'!G11</f>
        <v>4.4099999999999999E-4</v>
      </c>
      <c r="M13" s="292">
        <f>'HAPs - Diesel Engines &gt; 600'!E10</f>
        <v>2.5357518374999999E-4</v>
      </c>
      <c r="N13" s="292">
        <f>'HAPs - Diesel Engines &lt; 600 hp'!I11</f>
        <v>1.4993999999999999E-4</v>
      </c>
      <c r="O13" s="292">
        <f>'HAPs - Flares'!E12</f>
        <v>2.7594E-5</v>
      </c>
      <c r="P13" s="292">
        <f>'HAPs - Turbines'!M12</f>
        <v>7.5774397739039991E-4</v>
      </c>
      <c r="Q13" s="206">
        <f t="shared" si="0"/>
        <v>4.0025995807403993E-3</v>
      </c>
    </row>
    <row r="14" spans="1:17" ht="17.100000000000001" customHeight="1" x14ac:dyDescent="0.2">
      <c r="A14" s="60">
        <v>91203</v>
      </c>
      <c r="B14" s="58" t="s">
        <v>36</v>
      </c>
      <c r="C14" s="291">
        <f>'HAPs - Turbines'!E13</f>
        <v>2.2958208000000002E-4</v>
      </c>
      <c r="D14" s="291">
        <f t="shared" si="1"/>
        <v>2.2958208000000002E-4</v>
      </c>
      <c r="E14" s="291">
        <f t="shared" si="1"/>
        <v>2.2958208000000002E-4</v>
      </c>
      <c r="F14" s="291">
        <f>'HAPs - Turbines'!G13</f>
        <v>6.9761749199999997E-5</v>
      </c>
      <c r="G14" s="291">
        <f>'HAPs - Turbines'!I13</f>
        <v>7.3438934399999999E-5</v>
      </c>
      <c r="H14" s="292">
        <f>'HAPs - Turbines'!K13</f>
        <v>6.8849000999999987E-5</v>
      </c>
      <c r="I14" s="292">
        <f t="shared" si="2"/>
        <v>7.3438934399999999E-5</v>
      </c>
      <c r="J14" s="292">
        <f t="shared" si="3"/>
        <v>7.3438934399999999E-5</v>
      </c>
      <c r="K14" s="292" t="s">
        <v>203</v>
      </c>
      <c r="L14" s="292" t="s">
        <v>203</v>
      </c>
      <c r="M14" s="292" t="s">
        <v>203</v>
      </c>
      <c r="N14" s="292" t="s">
        <v>203</v>
      </c>
      <c r="O14" s="292" t="s">
        <v>203</v>
      </c>
      <c r="P14" s="292">
        <f>'HAPs - Turbines'!M13</f>
        <v>4.4775780482159995E-4</v>
      </c>
      <c r="Q14" s="206">
        <f t="shared" si="0"/>
        <v>1.4954315982216001E-3</v>
      </c>
    </row>
    <row r="15" spans="1:17" ht="17.100000000000001" customHeight="1" x14ac:dyDescent="0.2">
      <c r="A15" s="60">
        <v>75569</v>
      </c>
      <c r="B15" s="58" t="s">
        <v>173</v>
      </c>
      <c r="C15" s="291">
        <f>'HAPs - Turbines'!E14</f>
        <v>5.1214464000000001E-3</v>
      </c>
      <c r="D15" s="291">
        <f t="shared" si="1"/>
        <v>5.1214464000000001E-3</v>
      </c>
      <c r="E15" s="291">
        <f t="shared" si="1"/>
        <v>5.1214464000000001E-3</v>
      </c>
      <c r="F15" s="291">
        <f>'HAPs - Turbines'!G14</f>
        <v>1.5562236359999999E-3</v>
      </c>
      <c r="G15" s="291">
        <f>'HAPs - Turbines'!I14</f>
        <v>1.6382531519999999E-3</v>
      </c>
      <c r="H15" s="292">
        <f>'HAPs - Turbines'!K14</f>
        <v>1.5358623299999998E-3</v>
      </c>
      <c r="I15" s="292">
        <f t="shared" ref="I15" si="4">G15</f>
        <v>1.6382531519999999E-3</v>
      </c>
      <c r="J15" s="292">
        <f t="shared" ref="J15" si="5">I15</f>
        <v>1.6382531519999999E-3</v>
      </c>
      <c r="K15" s="292" t="s">
        <v>203</v>
      </c>
      <c r="L15" s="292" t="s">
        <v>203</v>
      </c>
      <c r="M15" s="292" t="s">
        <v>203</v>
      </c>
      <c r="N15" s="292" t="s">
        <v>203</v>
      </c>
      <c r="O15" s="292" t="s">
        <v>203</v>
      </c>
      <c r="P15" s="292">
        <f>'HAPs - Turbines'!M14</f>
        <v>9.9884433383279989E-3</v>
      </c>
      <c r="Q15" s="206">
        <f t="shared" ref="Q15:Q16" si="6">SUM(C15:P15)</f>
        <v>3.3359627960327994E-2</v>
      </c>
    </row>
    <row r="16" spans="1:17" ht="17.100000000000001" customHeight="1" x14ac:dyDescent="0.2">
      <c r="A16" s="60">
        <v>108883</v>
      </c>
      <c r="B16" s="58" t="s">
        <v>35</v>
      </c>
      <c r="C16" s="291">
        <f>'HAPs - Turbines'!E15</f>
        <v>2.2958208000000001E-2</v>
      </c>
      <c r="D16" s="291">
        <f t="shared" si="1"/>
        <v>2.2958208000000001E-2</v>
      </c>
      <c r="E16" s="291">
        <f t="shared" si="1"/>
        <v>2.2958208000000001E-2</v>
      </c>
      <c r="F16" s="291">
        <f>'HAPs - Turbines'!G15</f>
        <v>6.9761749199999988E-3</v>
      </c>
      <c r="G16" s="291">
        <f>'HAPs - Turbines'!I15</f>
        <v>7.3438934399999989E-3</v>
      </c>
      <c r="H16" s="292">
        <f>'HAPs - Turbines'!K15</f>
        <v>6.8849000999999998E-3</v>
      </c>
      <c r="I16" s="292">
        <f t="shared" si="2"/>
        <v>7.3438934399999989E-3</v>
      </c>
      <c r="J16" s="292">
        <f t="shared" si="3"/>
        <v>7.3438934399999989E-3</v>
      </c>
      <c r="K16" s="292">
        <f>'HAPs - Diesel Engines &lt; 600 hp'!E12</f>
        <v>1.4601300000000002E-3</v>
      </c>
      <c r="L16" s="292">
        <f>'HAPs - Diesel Engines &lt; 600 hp'!G12</f>
        <v>1.0736250000000001E-3</v>
      </c>
      <c r="M16" s="292">
        <f>'HAPs - Diesel Engines &gt; 600'!E11</f>
        <v>3.3684874999999998E-4</v>
      </c>
      <c r="N16" s="292">
        <f>'HAPs - Diesel Engines &lt; 600 hp'!I12</f>
        <v>3.6503250000000006E-4</v>
      </c>
      <c r="O16" s="292">
        <f>'HAPs - Flares'!E13</f>
        <v>1.1431800000000001E-4</v>
      </c>
      <c r="P16" s="292">
        <f>'HAPs - Turbines'!M15</f>
        <v>4.4775780482159987E-2</v>
      </c>
      <c r="Q16" s="204">
        <f t="shared" si="6"/>
        <v>0.15289311407215997</v>
      </c>
    </row>
    <row r="17" spans="1:17" ht="17.100000000000001" customHeight="1" thickBot="1" x14ac:dyDescent="0.25">
      <c r="A17" s="62">
        <v>106423</v>
      </c>
      <c r="B17" s="63" t="s">
        <v>37</v>
      </c>
      <c r="C17" s="296">
        <f>'HAPs - Turbines'!E16</f>
        <v>1.1302502399999999E-2</v>
      </c>
      <c r="D17" s="296">
        <f t="shared" si="1"/>
        <v>1.1302502399999999E-2</v>
      </c>
      <c r="E17" s="296">
        <f t="shared" si="1"/>
        <v>1.1302502399999999E-2</v>
      </c>
      <c r="F17" s="296">
        <f>'HAPs - Turbines'!G16</f>
        <v>3.4344245759999996E-3</v>
      </c>
      <c r="G17" s="296">
        <f>'HAPs - Turbines'!I16</f>
        <v>3.6154552319999996E-3</v>
      </c>
      <c r="H17" s="297">
        <f>'HAPs - Turbines'!K16</f>
        <v>3.3894892799999996E-3</v>
      </c>
      <c r="I17" s="297">
        <f t="shared" si="2"/>
        <v>3.6154552319999996E-3</v>
      </c>
      <c r="J17" s="297">
        <f t="shared" si="3"/>
        <v>3.6154552319999996E-3</v>
      </c>
      <c r="K17" s="297">
        <f>'HAPs - Diesel Engines &lt; 600 hp'!E13</f>
        <v>1.01745E-3</v>
      </c>
      <c r="L17" s="297">
        <f>'HAPs - Diesel Engines &lt; 600 hp'!G13</f>
        <v>7.4812499999999988E-4</v>
      </c>
      <c r="M17" s="297">
        <f>'HAPs - Diesel Engines &gt; 600'!E12</f>
        <v>2.3135875000000001E-4</v>
      </c>
      <c r="N17" s="297">
        <f>'HAPs - Diesel Engines &lt; 600 hp'!I13</f>
        <v>2.5436250000000001E-4</v>
      </c>
      <c r="O17" s="297">
        <f>'HAPs - Flares'!E14</f>
        <v>5.7159000000000006E-5</v>
      </c>
      <c r="P17" s="297">
        <f>'HAPs - Turbines'!M16</f>
        <v>2.2043461160447995E-2</v>
      </c>
      <c r="Q17" s="235">
        <f>SUM(C17:P17)</f>
        <v>7.5929703162447987E-2</v>
      </c>
    </row>
    <row r="18" spans="1:17" ht="17.100000000000001" customHeight="1" thickBot="1" x14ac:dyDescent="0.25">
      <c r="B18" s="45" t="s">
        <v>23</v>
      </c>
      <c r="C18" s="298">
        <f t="shared" ref="C18:P18" si="7">SUM(C6:C17)</f>
        <v>0.18142812172800002</v>
      </c>
      <c r="D18" s="299">
        <f t="shared" si="7"/>
        <v>0.18142812172800002</v>
      </c>
      <c r="E18" s="299">
        <f t="shared" si="7"/>
        <v>0.18142812172800002</v>
      </c>
      <c r="F18" s="296">
        <f t="shared" si="7"/>
        <v>5.5129490619720001E-2</v>
      </c>
      <c r="G18" s="296">
        <f t="shared" si="7"/>
        <v>5.8035400367039996E-2</v>
      </c>
      <c r="H18" s="296">
        <f t="shared" si="7"/>
        <v>5.4408187844100002E-2</v>
      </c>
      <c r="I18" s="296">
        <f t="shared" si="7"/>
        <v>5.8035400367039996E-2</v>
      </c>
      <c r="J18" s="296">
        <f t="shared" si="7"/>
        <v>5.8035400367039996E-2</v>
      </c>
      <c r="K18" s="296">
        <f t="shared" si="7"/>
        <v>1.3828752E-2</v>
      </c>
      <c r="L18" s="296">
        <f t="shared" si="7"/>
        <v>1.0168200000000001E-2</v>
      </c>
      <c r="M18" s="296">
        <f t="shared" si="7"/>
        <v>1.8862487087500002E-3</v>
      </c>
      <c r="N18" s="296">
        <f t="shared" si="7"/>
        <v>3.4571879999999999E-3</v>
      </c>
      <c r="O18" s="296">
        <f t="shared" si="7"/>
        <v>5.824305000000001E-3</v>
      </c>
      <c r="P18" s="299">
        <f t="shared" si="7"/>
        <v>0.35384232740567245</v>
      </c>
      <c r="Q18" s="285">
        <f>SUM(C18:P18)</f>
        <v>1.2169352658633623</v>
      </c>
    </row>
    <row r="19" spans="1:17" ht="17.100000000000001" customHeight="1" x14ac:dyDescent="0.2">
      <c r="A19" s="64"/>
      <c r="B19" s="65"/>
      <c r="C19" s="300"/>
      <c r="F19" s="302"/>
      <c r="G19" s="302"/>
      <c r="H19" s="303"/>
      <c r="I19" s="303"/>
      <c r="J19" s="303"/>
      <c r="K19" s="303"/>
      <c r="L19" s="303"/>
      <c r="M19" s="303"/>
      <c r="N19" s="304"/>
      <c r="O19" s="304"/>
      <c r="Q19" s="51"/>
    </row>
    <row r="20" spans="1:17" ht="17.100000000000001" customHeight="1" x14ac:dyDescent="0.2">
      <c r="A20" s="517" t="s">
        <v>208</v>
      </c>
      <c r="B20" s="517"/>
      <c r="C20" s="517"/>
      <c r="D20" s="517"/>
      <c r="E20" s="517"/>
      <c r="F20" s="517"/>
      <c r="G20" s="517"/>
      <c r="H20" s="517"/>
      <c r="I20" s="517"/>
      <c r="J20" s="517"/>
      <c r="K20" s="517"/>
      <c r="L20" s="517"/>
      <c r="M20" s="517"/>
      <c r="N20" s="517"/>
      <c r="O20" s="517"/>
      <c r="P20" s="517"/>
      <c r="Q20" s="517"/>
    </row>
    <row r="21" spans="1:17" ht="17.100000000000001" customHeight="1" x14ac:dyDescent="0.2">
      <c r="A21" s="517" t="str">
        <f>A2</f>
        <v>Hilcorp Alaska, LLC - Grayling Platform</v>
      </c>
      <c r="B21" s="517"/>
      <c r="C21" s="517"/>
      <c r="D21" s="517"/>
      <c r="E21" s="517"/>
      <c r="F21" s="517"/>
      <c r="G21" s="517"/>
      <c r="H21" s="517"/>
      <c r="I21" s="517"/>
      <c r="J21" s="517"/>
      <c r="K21" s="517"/>
      <c r="L21" s="517"/>
      <c r="M21" s="517"/>
      <c r="N21" s="517"/>
      <c r="O21" s="517"/>
      <c r="P21" s="517"/>
      <c r="Q21" s="517"/>
    </row>
    <row r="22" spans="1:17" ht="17.100000000000001" customHeight="1" thickBot="1" x14ac:dyDescent="0.25">
      <c r="A22" s="64"/>
      <c r="B22" s="65"/>
      <c r="C22" s="306"/>
    </row>
    <row r="23" spans="1:17" ht="17.100000000000001" customHeight="1" x14ac:dyDescent="0.2">
      <c r="A23" s="479" t="s">
        <v>45</v>
      </c>
      <c r="B23" s="477" t="s">
        <v>28</v>
      </c>
      <c r="C23" s="514" t="s">
        <v>61</v>
      </c>
      <c r="D23" s="515"/>
      <c r="E23" s="515"/>
      <c r="F23" s="515"/>
      <c r="G23" s="515"/>
      <c r="H23" s="515"/>
      <c r="I23" s="515"/>
      <c r="J23" s="515"/>
      <c r="K23" s="515"/>
      <c r="L23" s="515"/>
      <c r="M23" s="515"/>
      <c r="N23" s="515"/>
      <c r="O23" s="515"/>
      <c r="P23" s="515"/>
      <c r="Q23" s="481" t="s">
        <v>23</v>
      </c>
    </row>
    <row r="24" spans="1:17" ht="31.5" customHeight="1" thickBot="1" x14ac:dyDescent="0.25">
      <c r="A24" s="480"/>
      <c r="B24" s="478"/>
      <c r="C24" s="289" t="s">
        <v>46</v>
      </c>
      <c r="D24" s="289" t="s">
        <v>47</v>
      </c>
      <c r="E24" s="289" t="s">
        <v>122</v>
      </c>
      <c r="F24" s="289" t="s">
        <v>124</v>
      </c>
      <c r="G24" s="289" t="s">
        <v>126</v>
      </c>
      <c r="H24" s="289" t="s">
        <v>127</v>
      </c>
      <c r="I24" s="289" t="s">
        <v>129</v>
      </c>
      <c r="J24" s="289" t="s">
        <v>130</v>
      </c>
      <c r="K24" s="289" t="s">
        <v>136</v>
      </c>
      <c r="L24" s="289" t="s">
        <v>138</v>
      </c>
      <c r="M24" s="290" t="s">
        <v>149</v>
      </c>
      <c r="N24" s="289" t="s">
        <v>139</v>
      </c>
      <c r="O24" s="289" t="s">
        <v>141</v>
      </c>
      <c r="P24" s="289" t="s">
        <v>128</v>
      </c>
      <c r="Q24" s="516"/>
    </row>
    <row r="25" spans="1:17" ht="17.100000000000001" customHeight="1" thickTop="1" x14ac:dyDescent="0.2">
      <c r="A25" s="67">
        <v>75070</v>
      </c>
      <c r="B25" s="68" t="s">
        <v>29</v>
      </c>
      <c r="C25" s="291">
        <f t="shared" ref="C25:J36" si="8">C6</f>
        <v>7.064064000000001E-3</v>
      </c>
      <c r="D25" s="291">
        <f t="shared" si="8"/>
        <v>7.064064000000001E-3</v>
      </c>
      <c r="E25" s="291">
        <f t="shared" si="8"/>
        <v>7.064064000000001E-3</v>
      </c>
      <c r="F25" s="291">
        <f t="shared" si="8"/>
        <v>2.1465153600000002E-3</v>
      </c>
      <c r="G25" s="291">
        <f t="shared" si="8"/>
        <v>2.2596595199999999E-3</v>
      </c>
      <c r="H25" s="291">
        <f t="shared" si="8"/>
        <v>2.1184308E-3</v>
      </c>
      <c r="I25" s="291">
        <f t="shared" si="8"/>
        <v>2.2596595199999999E-3</v>
      </c>
      <c r="J25" s="291">
        <f t="shared" si="8"/>
        <v>2.2596595199999999E-3</v>
      </c>
      <c r="K25" s="292">
        <f>'HAPs - Diesel Engines &lt; 600 hp'!K6</f>
        <v>7.995514799999999E-3</v>
      </c>
      <c r="L25" s="292">
        <f>'HAPs - Diesel Engines &lt; 600 hp'!M6</f>
        <v>5.8790550000000002E-3</v>
      </c>
      <c r="M25" s="292">
        <f>'HAPs - Diesel Engines &gt; 600'!G6</f>
        <v>5.2925291999999992E-4</v>
      </c>
      <c r="N25" s="292">
        <f>'HAPs - Diesel Engines &lt; 600 hp'!O6</f>
        <v>1.9988786999999997E-3</v>
      </c>
      <c r="O25" s="294">
        <f>'HAPs - Flares'!G6</f>
        <v>0.22161339999999996</v>
      </c>
      <c r="P25" s="292">
        <f t="shared" ref="P25:P36" si="9">P6</f>
        <v>1.377716322528E-2</v>
      </c>
      <c r="Q25" s="204">
        <f t="shared" ref="Q25:Q37" si="10">SUM(C25:P25)</f>
        <v>0.28402938136527994</v>
      </c>
    </row>
    <row r="26" spans="1:17" ht="17.100000000000001" customHeight="1" x14ac:dyDescent="0.2">
      <c r="A26" s="60">
        <v>107028</v>
      </c>
      <c r="B26" s="57" t="s">
        <v>30</v>
      </c>
      <c r="C26" s="291">
        <f t="shared" si="8"/>
        <v>1.1302502400000001E-3</v>
      </c>
      <c r="D26" s="291">
        <f t="shared" si="8"/>
        <v>1.1302502400000001E-3</v>
      </c>
      <c r="E26" s="291">
        <f t="shared" si="8"/>
        <v>1.1302502400000001E-3</v>
      </c>
      <c r="F26" s="291">
        <f t="shared" si="8"/>
        <v>3.4344245759999995E-4</v>
      </c>
      <c r="G26" s="291">
        <f t="shared" si="8"/>
        <v>3.6154552319999993E-4</v>
      </c>
      <c r="H26" s="291">
        <f t="shared" si="8"/>
        <v>3.3894892799999997E-4</v>
      </c>
      <c r="I26" s="291">
        <f t="shared" si="8"/>
        <v>3.6154552319999993E-4</v>
      </c>
      <c r="J26" s="291">
        <f t="shared" si="8"/>
        <v>3.6154552319999993E-4</v>
      </c>
      <c r="K26" s="292">
        <f>'HAPs - Diesel Engines &lt; 600 hp'!K7</f>
        <v>9.6425699999999994E-4</v>
      </c>
      <c r="L26" s="292">
        <f>'HAPs - Diesel Engines &lt; 600 hp'!M7</f>
        <v>7.0901249999999992E-4</v>
      </c>
      <c r="M26" s="292">
        <f>'HAPs - Diesel Engines &gt; 600'!G7</f>
        <v>1.6549654799999998E-4</v>
      </c>
      <c r="N26" s="292">
        <f>'HAPs - Diesel Engines &lt; 600 hp'!O7</f>
        <v>2.4106424999999998E-4</v>
      </c>
      <c r="O26" s="292">
        <f>'HAPs - Flares'!G7</f>
        <v>5.1537999999999994E-2</v>
      </c>
      <c r="P26" s="292">
        <f t="shared" si="9"/>
        <v>2.2043461160447999E-3</v>
      </c>
      <c r="Q26" s="206">
        <f t="shared" si="10"/>
        <v>6.0979955089244794E-2</v>
      </c>
    </row>
    <row r="27" spans="1:17" ht="17.100000000000001" customHeight="1" x14ac:dyDescent="0.2">
      <c r="A27" s="5">
        <v>71432</v>
      </c>
      <c r="B27" s="58" t="s">
        <v>26</v>
      </c>
      <c r="C27" s="291">
        <f t="shared" si="8"/>
        <v>2.1192192000000004E-3</v>
      </c>
      <c r="D27" s="291">
        <f t="shared" si="8"/>
        <v>2.1192192000000004E-3</v>
      </c>
      <c r="E27" s="291">
        <f t="shared" si="8"/>
        <v>2.1192192000000004E-3</v>
      </c>
      <c r="F27" s="291">
        <f t="shared" si="8"/>
        <v>6.4395460800000003E-4</v>
      </c>
      <c r="G27" s="291">
        <f t="shared" si="8"/>
        <v>6.7789785599999995E-4</v>
      </c>
      <c r="H27" s="291">
        <f t="shared" si="8"/>
        <v>6.3552924000000004E-4</v>
      </c>
      <c r="I27" s="291">
        <f t="shared" si="8"/>
        <v>6.7789785599999995E-4</v>
      </c>
      <c r="J27" s="291">
        <f t="shared" si="8"/>
        <v>6.7789785599999995E-4</v>
      </c>
      <c r="K27" s="292">
        <f>'HAPs - Diesel Engines &lt; 600 hp'!K8</f>
        <v>9.7259651999999988E-3</v>
      </c>
      <c r="L27" s="292">
        <f>'HAPs - Diesel Engines &lt; 600 hp'!M8</f>
        <v>7.1514450000000002E-3</v>
      </c>
      <c r="M27" s="292">
        <f>'HAPs - Diesel Engines &gt; 600'!G8</f>
        <v>1.6297629600000002E-2</v>
      </c>
      <c r="N27" s="292">
        <f>'HAPs - Diesel Engines &lt; 600 hp'!O8</f>
        <v>2.4314912999999997E-3</v>
      </c>
      <c r="O27" s="294">
        <f>'HAPs - Flares'!G8</f>
        <v>0.81945419999999991</v>
      </c>
      <c r="P27" s="292">
        <f t="shared" si="9"/>
        <v>4.1331489675839987E-3</v>
      </c>
      <c r="Q27" s="204">
        <f t="shared" si="10"/>
        <v>0.86886471508358387</v>
      </c>
    </row>
    <row r="28" spans="1:17" ht="17.100000000000001" customHeight="1" x14ac:dyDescent="0.2">
      <c r="A28" s="60">
        <v>106990</v>
      </c>
      <c r="B28" s="58" t="s">
        <v>31</v>
      </c>
      <c r="C28" s="291">
        <f t="shared" si="8"/>
        <v>7.5938688000000006E-5</v>
      </c>
      <c r="D28" s="291">
        <f t="shared" si="8"/>
        <v>7.5938688000000006E-5</v>
      </c>
      <c r="E28" s="291">
        <f t="shared" si="8"/>
        <v>7.5938688000000006E-5</v>
      </c>
      <c r="F28" s="291">
        <f t="shared" si="8"/>
        <v>2.3075040120000003E-5</v>
      </c>
      <c r="G28" s="291">
        <f t="shared" si="8"/>
        <v>2.4291339839999998E-5</v>
      </c>
      <c r="H28" s="291">
        <f t="shared" si="8"/>
        <v>2.27731311E-5</v>
      </c>
      <c r="I28" s="291">
        <f t="shared" si="8"/>
        <v>2.4291339839999998E-5</v>
      </c>
      <c r="J28" s="291">
        <f t="shared" si="8"/>
        <v>2.4291339839999998E-5</v>
      </c>
      <c r="K28" s="292">
        <f>'HAPs - Diesel Engines &lt; 600 hp'!K9</f>
        <v>4.0759404E-4</v>
      </c>
      <c r="L28" s="292">
        <f>'HAPs - Diesel Engines &lt; 600 hp'!M9</f>
        <v>2.9970149999999999E-4</v>
      </c>
      <c r="M28" s="291" t="str">
        <f>M9</f>
        <v>--</v>
      </c>
      <c r="N28" s="292">
        <f>'HAPs - Diesel Engines &lt; 600 hp'!O9</f>
        <v>1.0189851E-4</v>
      </c>
      <c r="O28" s="291" t="str">
        <f>O9</f>
        <v>--</v>
      </c>
      <c r="P28" s="292">
        <f t="shared" si="9"/>
        <v>1.4810450467175998E-4</v>
      </c>
      <c r="Q28" s="206">
        <f t="shared" si="10"/>
        <v>1.3038368094117599E-3</v>
      </c>
    </row>
    <row r="29" spans="1:17" ht="17.100000000000001" customHeight="1" x14ac:dyDescent="0.2">
      <c r="A29" s="60">
        <v>100414</v>
      </c>
      <c r="B29" s="57" t="s">
        <v>32</v>
      </c>
      <c r="C29" s="291">
        <f t="shared" si="8"/>
        <v>5.6512511999999996E-3</v>
      </c>
      <c r="D29" s="291">
        <f t="shared" si="8"/>
        <v>5.6512511999999996E-3</v>
      </c>
      <c r="E29" s="291">
        <f t="shared" si="8"/>
        <v>5.6512511999999996E-3</v>
      </c>
      <c r="F29" s="291">
        <f t="shared" si="8"/>
        <v>1.7172122879999998E-3</v>
      </c>
      <c r="G29" s="291">
        <f t="shared" si="8"/>
        <v>1.8077276159999998E-3</v>
      </c>
      <c r="H29" s="291">
        <f t="shared" si="8"/>
        <v>1.6947446399999998E-3</v>
      </c>
      <c r="I29" s="291">
        <f t="shared" si="8"/>
        <v>1.8077276159999998E-3</v>
      </c>
      <c r="J29" s="291">
        <f t="shared" si="8"/>
        <v>1.8077276159999998E-3</v>
      </c>
      <c r="K29" s="291" t="str">
        <f>K10</f>
        <v>--</v>
      </c>
      <c r="L29" s="291" t="str">
        <f>L10</f>
        <v>--</v>
      </c>
      <c r="M29" s="291" t="str">
        <f>M10</f>
        <v>--</v>
      </c>
      <c r="N29" s="291" t="str">
        <f>N10</f>
        <v>--</v>
      </c>
      <c r="O29" s="294">
        <f>'HAPs - Flares'!G9</f>
        <v>7.4420871999999987</v>
      </c>
      <c r="P29" s="292">
        <f t="shared" si="9"/>
        <v>1.1021730580223998E-2</v>
      </c>
      <c r="Q29" s="204">
        <f t="shared" si="10"/>
        <v>7.4788978239562232</v>
      </c>
    </row>
    <row r="30" spans="1:17" ht="17.100000000000001" customHeight="1" x14ac:dyDescent="0.2">
      <c r="A30" s="60">
        <v>5000</v>
      </c>
      <c r="B30" s="57" t="s">
        <v>33</v>
      </c>
      <c r="C30" s="293">
        <f t="shared" si="8"/>
        <v>0.12538713600000001</v>
      </c>
      <c r="D30" s="293">
        <f t="shared" si="8"/>
        <v>0.12538713600000001</v>
      </c>
      <c r="E30" s="293">
        <f t="shared" si="8"/>
        <v>0.12538713600000001</v>
      </c>
      <c r="F30" s="291">
        <f t="shared" si="8"/>
        <v>3.8100647639999999E-2</v>
      </c>
      <c r="G30" s="291">
        <f t="shared" si="8"/>
        <v>4.0108956479999999E-2</v>
      </c>
      <c r="H30" s="291">
        <f t="shared" si="8"/>
        <v>3.7602146699999998E-2</v>
      </c>
      <c r="I30" s="291">
        <f t="shared" si="8"/>
        <v>4.0108956479999999E-2</v>
      </c>
      <c r="J30" s="291">
        <f t="shared" si="8"/>
        <v>4.0108956479999999E-2</v>
      </c>
      <c r="K30" s="292">
        <f>'HAPs - Diesel Engines &lt; 600 hp'!K10</f>
        <v>1.2300792E-2</v>
      </c>
      <c r="L30" s="292">
        <f>'HAPs - Diesel Engines &lt; 600 hp'!M10</f>
        <v>9.044700000000001E-3</v>
      </c>
      <c r="M30" s="292">
        <f>'HAPs - Diesel Engines &gt; 600'!G9</f>
        <v>1.6570656899999997E-3</v>
      </c>
      <c r="N30" s="292">
        <f>'HAPs - Diesel Engines &lt; 600 hp'!O10</f>
        <v>3.0751979999999999E-3</v>
      </c>
      <c r="O30" s="294">
        <f>'HAPs - Flares'!G10</f>
        <v>6.0247921999999994</v>
      </c>
      <c r="P30" s="294">
        <f t="shared" si="9"/>
        <v>0.24454464724871997</v>
      </c>
      <c r="Q30" s="204">
        <f t="shared" si="10"/>
        <v>6.8676056747187193</v>
      </c>
    </row>
    <row r="31" spans="1:17" ht="17.100000000000001" customHeight="1" x14ac:dyDescent="0.2">
      <c r="A31" s="60">
        <v>110543</v>
      </c>
      <c r="B31" s="58" t="s">
        <v>27</v>
      </c>
      <c r="C31" s="291" t="str">
        <f t="shared" si="8"/>
        <v>--</v>
      </c>
      <c r="D31" s="291" t="str">
        <f t="shared" si="8"/>
        <v>--</v>
      </c>
      <c r="E31" s="291" t="str">
        <f t="shared" si="8"/>
        <v>--</v>
      </c>
      <c r="F31" s="291" t="str">
        <f t="shared" si="8"/>
        <v>--</v>
      </c>
      <c r="G31" s="291" t="str">
        <f t="shared" si="8"/>
        <v>--</v>
      </c>
      <c r="H31" s="291" t="str">
        <f t="shared" si="8"/>
        <v>--</v>
      </c>
      <c r="I31" s="291" t="str">
        <f t="shared" si="8"/>
        <v>--</v>
      </c>
      <c r="J31" s="291" t="str">
        <f t="shared" si="8"/>
        <v>--</v>
      </c>
      <c r="K31" s="291" t="str">
        <f>K12</f>
        <v>--</v>
      </c>
      <c r="L31" s="291" t="str">
        <f>L12</f>
        <v>--</v>
      </c>
      <c r="M31" s="291" t="str">
        <f>M12</f>
        <v>--</v>
      </c>
      <c r="N31" s="291" t="str">
        <f>N12</f>
        <v>--</v>
      </c>
      <c r="O31" s="294">
        <f>'HAPs - Flares'!G11</f>
        <v>0.14946019999999999</v>
      </c>
      <c r="P31" s="295" t="str">
        <f t="shared" si="9"/>
        <v>--</v>
      </c>
      <c r="Q31" s="206">
        <f t="shared" si="10"/>
        <v>0.14946019999999999</v>
      </c>
    </row>
    <row r="32" spans="1:17" ht="17.100000000000001" customHeight="1" x14ac:dyDescent="0.2">
      <c r="A32" s="60" t="s">
        <v>7</v>
      </c>
      <c r="B32" s="58" t="s">
        <v>34</v>
      </c>
      <c r="C32" s="291">
        <f t="shared" si="8"/>
        <v>3.8852352000000003E-4</v>
      </c>
      <c r="D32" s="291">
        <f t="shared" si="8"/>
        <v>3.8852352000000003E-4</v>
      </c>
      <c r="E32" s="291">
        <f t="shared" si="8"/>
        <v>3.8852352000000003E-4</v>
      </c>
      <c r="F32" s="291">
        <f t="shared" si="8"/>
        <v>1.1805834480000001E-4</v>
      </c>
      <c r="G32" s="291">
        <f t="shared" si="8"/>
        <v>1.2428127360000001E-4</v>
      </c>
      <c r="H32" s="291">
        <f t="shared" si="8"/>
        <v>1.1651369400000001E-4</v>
      </c>
      <c r="I32" s="291">
        <f t="shared" si="8"/>
        <v>1.2428127360000001E-4</v>
      </c>
      <c r="J32" s="291">
        <f t="shared" si="8"/>
        <v>1.2428127360000001E-4</v>
      </c>
      <c r="K32" s="292">
        <f>'HAPs - Diesel Engines &lt; 600 hp'!K11</f>
        <v>1.7512991999999998E-3</v>
      </c>
      <c r="L32" s="292">
        <f>'HAPs - Diesel Engines &lt; 600 hp'!M11</f>
        <v>1.28772E-3</v>
      </c>
      <c r="M32" s="292">
        <f>'HAPs - Diesel Engines &gt; 600'!G10</f>
        <v>4.4426372193000002E-3</v>
      </c>
      <c r="N32" s="292">
        <f>'HAPs - Diesel Engines &lt; 600 hp'!O11</f>
        <v>4.3782479999999996E-4</v>
      </c>
      <c r="O32" s="292">
        <f>'HAPs - Flares'!G12</f>
        <v>7.2153200000000001E-2</v>
      </c>
      <c r="P32" s="292">
        <f t="shared" si="9"/>
        <v>7.5774397739039991E-4</v>
      </c>
      <c r="Q32" s="206">
        <f t="shared" si="10"/>
        <v>8.2603411616290395E-2</v>
      </c>
    </row>
    <row r="33" spans="1:17" ht="17.100000000000001" customHeight="1" x14ac:dyDescent="0.2">
      <c r="A33" s="60">
        <v>91203</v>
      </c>
      <c r="B33" s="58" t="s">
        <v>36</v>
      </c>
      <c r="C33" s="291">
        <f t="shared" si="8"/>
        <v>2.2958208000000002E-4</v>
      </c>
      <c r="D33" s="291">
        <f t="shared" si="8"/>
        <v>2.2958208000000002E-4</v>
      </c>
      <c r="E33" s="291">
        <f t="shared" si="8"/>
        <v>2.2958208000000002E-4</v>
      </c>
      <c r="F33" s="291">
        <f t="shared" si="8"/>
        <v>6.9761749199999997E-5</v>
      </c>
      <c r="G33" s="291">
        <f t="shared" si="8"/>
        <v>7.3438934399999999E-5</v>
      </c>
      <c r="H33" s="291">
        <f t="shared" si="8"/>
        <v>6.8849000999999987E-5</v>
      </c>
      <c r="I33" s="291">
        <f t="shared" si="8"/>
        <v>7.3438934399999999E-5</v>
      </c>
      <c r="J33" s="291">
        <f t="shared" si="8"/>
        <v>7.3438934399999999E-5</v>
      </c>
      <c r="K33" s="291" t="str">
        <f t="shared" ref="K33:O34" si="11">K14</f>
        <v>--</v>
      </c>
      <c r="L33" s="291" t="str">
        <f t="shared" si="11"/>
        <v>--</v>
      </c>
      <c r="M33" s="291" t="str">
        <f t="shared" si="11"/>
        <v>--</v>
      </c>
      <c r="N33" s="291" t="str">
        <f t="shared" si="11"/>
        <v>--</v>
      </c>
      <c r="O33" s="291" t="str">
        <f t="shared" si="11"/>
        <v>--</v>
      </c>
      <c r="P33" s="292">
        <f t="shared" si="9"/>
        <v>4.4775780482159995E-4</v>
      </c>
      <c r="Q33" s="206">
        <f t="shared" si="10"/>
        <v>1.4954315982216001E-3</v>
      </c>
    </row>
    <row r="34" spans="1:17" ht="17.100000000000001" customHeight="1" x14ac:dyDescent="0.2">
      <c r="A34" s="60">
        <v>75569</v>
      </c>
      <c r="B34" s="58" t="s">
        <v>173</v>
      </c>
      <c r="C34" s="291">
        <f t="shared" si="8"/>
        <v>5.1214464000000001E-3</v>
      </c>
      <c r="D34" s="291">
        <f t="shared" si="8"/>
        <v>5.1214464000000001E-3</v>
      </c>
      <c r="E34" s="291">
        <f t="shared" si="8"/>
        <v>5.1214464000000001E-3</v>
      </c>
      <c r="F34" s="291">
        <f t="shared" si="8"/>
        <v>1.5562236359999999E-3</v>
      </c>
      <c r="G34" s="291">
        <f t="shared" si="8"/>
        <v>1.6382531519999999E-3</v>
      </c>
      <c r="H34" s="291">
        <f t="shared" si="8"/>
        <v>1.5358623299999998E-3</v>
      </c>
      <c r="I34" s="291">
        <f t="shared" si="8"/>
        <v>1.6382531519999999E-3</v>
      </c>
      <c r="J34" s="291">
        <f t="shared" si="8"/>
        <v>1.6382531519999999E-3</v>
      </c>
      <c r="K34" s="291" t="str">
        <f t="shared" si="11"/>
        <v>--</v>
      </c>
      <c r="L34" s="291" t="str">
        <f t="shared" si="11"/>
        <v>--</v>
      </c>
      <c r="M34" s="291" t="str">
        <f t="shared" si="11"/>
        <v>--</v>
      </c>
      <c r="N34" s="291" t="str">
        <f t="shared" si="11"/>
        <v>--</v>
      </c>
      <c r="O34" s="291" t="str">
        <f t="shared" si="11"/>
        <v>--</v>
      </c>
      <c r="P34" s="292">
        <f t="shared" si="9"/>
        <v>9.9884433383279989E-3</v>
      </c>
      <c r="Q34" s="206">
        <f t="shared" si="10"/>
        <v>3.3359627960327994E-2</v>
      </c>
    </row>
    <row r="35" spans="1:17" ht="17.100000000000001" customHeight="1" x14ac:dyDescent="0.2">
      <c r="A35" s="60">
        <v>108883</v>
      </c>
      <c r="B35" s="58" t="s">
        <v>35</v>
      </c>
      <c r="C35" s="291">
        <f t="shared" si="8"/>
        <v>2.2958208000000001E-2</v>
      </c>
      <c r="D35" s="291">
        <f t="shared" si="8"/>
        <v>2.2958208000000001E-2</v>
      </c>
      <c r="E35" s="291">
        <f t="shared" si="8"/>
        <v>2.2958208000000001E-2</v>
      </c>
      <c r="F35" s="291">
        <f t="shared" si="8"/>
        <v>6.9761749199999988E-3</v>
      </c>
      <c r="G35" s="291">
        <f t="shared" si="8"/>
        <v>7.3438934399999989E-3</v>
      </c>
      <c r="H35" s="291">
        <f t="shared" si="8"/>
        <v>6.8849000999999998E-3</v>
      </c>
      <c r="I35" s="291">
        <f t="shared" si="8"/>
        <v>7.3438934399999989E-3</v>
      </c>
      <c r="J35" s="291">
        <f t="shared" si="8"/>
        <v>7.3438934399999989E-3</v>
      </c>
      <c r="K35" s="292">
        <f>'HAPs - Diesel Engines &lt; 600 hp'!K12</f>
        <v>4.2635796000000002E-3</v>
      </c>
      <c r="L35" s="292">
        <f>'HAPs - Diesel Engines &lt; 600 hp'!M12</f>
        <v>3.1349850000000003E-3</v>
      </c>
      <c r="M35" s="292">
        <f>'HAPs - Diesel Engines &gt; 600'!G11</f>
        <v>5.9015900999999996E-3</v>
      </c>
      <c r="N35" s="292">
        <f>'HAPs - Diesel Engines &lt; 600 hp'!O12</f>
        <v>1.0658949E-3</v>
      </c>
      <c r="O35" s="294">
        <f>'HAPs - Flares'!G13</f>
        <v>0.29892039999999998</v>
      </c>
      <c r="P35" s="292">
        <f t="shared" si="9"/>
        <v>4.4775780482159987E-2</v>
      </c>
      <c r="Q35" s="204">
        <f t="shared" si="10"/>
        <v>0.46282960942215995</v>
      </c>
    </row>
    <row r="36" spans="1:17" ht="17.100000000000001" customHeight="1" thickBot="1" x14ac:dyDescent="0.25">
      <c r="A36" s="62">
        <v>106423</v>
      </c>
      <c r="B36" s="63" t="s">
        <v>37</v>
      </c>
      <c r="C36" s="296">
        <f t="shared" si="8"/>
        <v>1.1302502399999999E-2</v>
      </c>
      <c r="D36" s="296">
        <f t="shared" si="8"/>
        <v>1.1302502399999999E-2</v>
      </c>
      <c r="E36" s="296">
        <f t="shared" si="8"/>
        <v>1.1302502399999999E-2</v>
      </c>
      <c r="F36" s="296">
        <f t="shared" si="8"/>
        <v>3.4344245759999996E-3</v>
      </c>
      <c r="G36" s="296">
        <f t="shared" si="8"/>
        <v>3.6154552319999996E-3</v>
      </c>
      <c r="H36" s="296">
        <f t="shared" si="8"/>
        <v>3.3894892799999996E-3</v>
      </c>
      <c r="I36" s="296">
        <f t="shared" si="8"/>
        <v>3.6154552319999996E-3</v>
      </c>
      <c r="J36" s="296">
        <f t="shared" si="8"/>
        <v>3.6154552319999996E-3</v>
      </c>
      <c r="K36" s="297">
        <f>'HAPs - Diesel Engines &lt; 600 hp'!K13</f>
        <v>2.970954E-3</v>
      </c>
      <c r="L36" s="297">
        <f>'HAPs - Diesel Engines &lt; 600 hp'!M13</f>
        <v>2.1845249999999997E-3</v>
      </c>
      <c r="M36" s="297">
        <f>'HAPs - Diesel Engines &gt; 600'!G12</f>
        <v>4.0534053E-3</v>
      </c>
      <c r="N36" s="297">
        <f>'HAPs - Diesel Engines &lt; 600 hp'!O13</f>
        <v>7.4273850000000001E-4</v>
      </c>
      <c r="O36" s="363">
        <f>'HAPs - Flares'!G14</f>
        <v>0.14946019999999999</v>
      </c>
      <c r="P36" s="297">
        <f t="shared" si="9"/>
        <v>2.2043461160447995E-2</v>
      </c>
      <c r="Q36" s="286">
        <f t="shared" si="10"/>
        <v>0.23303307071244797</v>
      </c>
    </row>
    <row r="37" spans="1:17" ht="17.100000000000001" customHeight="1" thickBot="1" x14ac:dyDescent="0.25">
      <c r="B37" s="45" t="s">
        <v>23</v>
      </c>
      <c r="C37" s="298">
        <f t="shared" ref="C37:P37" si="12">SUM(C25:C36)</f>
        <v>0.18142812172800002</v>
      </c>
      <c r="D37" s="299">
        <f t="shared" si="12"/>
        <v>0.18142812172800002</v>
      </c>
      <c r="E37" s="299">
        <f t="shared" si="12"/>
        <v>0.18142812172800002</v>
      </c>
      <c r="F37" s="296">
        <f t="shared" si="12"/>
        <v>5.5129490619720001E-2</v>
      </c>
      <c r="G37" s="296">
        <f t="shared" si="12"/>
        <v>5.8035400367039996E-2</v>
      </c>
      <c r="H37" s="296">
        <f t="shared" si="12"/>
        <v>5.4408187844100002E-2</v>
      </c>
      <c r="I37" s="296">
        <f t="shared" si="12"/>
        <v>5.8035400367039996E-2</v>
      </c>
      <c r="J37" s="296">
        <f t="shared" si="12"/>
        <v>5.8035400367039996E-2</v>
      </c>
      <c r="K37" s="296">
        <f t="shared" si="12"/>
        <v>4.0379955839999995E-2</v>
      </c>
      <c r="L37" s="296">
        <f t="shared" si="12"/>
        <v>2.9691143999999999E-2</v>
      </c>
      <c r="M37" s="296">
        <f t="shared" si="12"/>
        <v>3.3047077377300005E-2</v>
      </c>
      <c r="N37" s="296">
        <f t="shared" si="12"/>
        <v>1.0094988959999999E-2</v>
      </c>
      <c r="O37" s="299">
        <f t="shared" si="12"/>
        <v>15.229479</v>
      </c>
      <c r="P37" s="299">
        <f t="shared" si="12"/>
        <v>0.35384232740567245</v>
      </c>
      <c r="Q37" s="285">
        <f t="shared" si="10"/>
        <v>16.524462738331913</v>
      </c>
    </row>
    <row r="38" spans="1:17" ht="17.100000000000001" customHeight="1" x14ac:dyDescent="0.2">
      <c r="F38" s="302"/>
      <c r="G38" s="302"/>
      <c r="H38" s="302"/>
      <c r="I38" s="302"/>
      <c r="J38" s="302"/>
      <c r="K38" s="304"/>
      <c r="L38" s="304"/>
      <c r="M38" s="303"/>
      <c r="N38" s="304"/>
      <c r="O38" s="304"/>
      <c r="P38" s="307"/>
      <c r="Q38" s="51"/>
    </row>
    <row r="39" spans="1:17" ht="17.100000000000001" customHeight="1" x14ac:dyDescent="0.2">
      <c r="A39" s="517" t="s">
        <v>225</v>
      </c>
      <c r="B39" s="517"/>
      <c r="C39" s="517"/>
      <c r="D39" s="517"/>
      <c r="E39" s="517"/>
      <c r="F39" s="517"/>
      <c r="G39" s="517"/>
      <c r="H39" s="517"/>
      <c r="I39" s="517"/>
      <c r="J39" s="517"/>
      <c r="K39" s="517"/>
      <c r="L39" s="517"/>
      <c r="M39" s="517"/>
      <c r="N39" s="517"/>
      <c r="O39" s="517"/>
      <c r="P39" s="517"/>
      <c r="Q39" s="517"/>
    </row>
    <row r="40" spans="1:17" ht="17.100000000000001" customHeight="1" x14ac:dyDescent="0.2">
      <c r="A40" s="517" t="str">
        <f>A21</f>
        <v>Hilcorp Alaska, LLC - Grayling Platform</v>
      </c>
      <c r="B40" s="517"/>
      <c r="C40" s="517"/>
      <c r="D40" s="517"/>
      <c r="E40" s="517"/>
      <c r="F40" s="517"/>
      <c r="G40" s="517"/>
      <c r="H40" s="517"/>
      <c r="I40" s="517"/>
      <c r="J40" s="517"/>
      <c r="K40" s="517"/>
      <c r="L40" s="517"/>
      <c r="M40" s="517"/>
      <c r="N40" s="517"/>
      <c r="O40" s="517"/>
      <c r="P40" s="517"/>
      <c r="Q40" s="517"/>
    </row>
    <row r="41" spans="1:17" ht="17.100000000000001" customHeight="1" thickBot="1" x14ac:dyDescent="0.25">
      <c r="A41" s="64"/>
      <c r="B41" s="65"/>
      <c r="C41" s="306"/>
    </row>
    <row r="42" spans="1:17" ht="17.100000000000001" customHeight="1" x14ac:dyDescent="0.2">
      <c r="A42" s="479" t="s">
        <v>45</v>
      </c>
      <c r="B42" s="477" t="s">
        <v>28</v>
      </c>
      <c r="C42" s="514" t="s">
        <v>224</v>
      </c>
      <c r="D42" s="515"/>
      <c r="E42" s="515"/>
      <c r="F42" s="515"/>
      <c r="G42" s="515"/>
      <c r="H42" s="515"/>
      <c r="I42" s="515"/>
      <c r="J42" s="515"/>
      <c r="K42" s="515"/>
      <c r="L42" s="515"/>
      <c r="M42" s="515"/>
      <c r="N42" s="515"/>
      <c r="O42" s="515"/>
      <c r="P42" s="515"/>
      <c r="Q42" s="481" t="s">
        <v>23</v>
      </c>
    </row>
    <row r="43" spans="1:17" ht="31.5" customHeight="1" thickBot="1" x14ac:dyDescent="0.25">
      <c r="A43" s="480"/>
      <c r="B43" s="478"/>
      <c r="C43" s="289" t="s">
        <v>46</v>
      </c>
      <c r="D43" s="289" t="s">
        <v>47</v>
      </c>
      <c r="E43" s="289" t="s">
        <v>122</v>
      </c>
      <c r="F43" s="289" t="s">
        <v>124</v>
      </c>
      <c r="G43" s="289" t="s">
        <v>126</v>
      </c>
      <c r="H43" s="289" t="s">
        <v>127</v>
      </c>
      <c r="I43" s="289" t="s">
        <v>129</v>
      </c>
      <c r="J43" s="289" t="s">
        <v>130</v>
      </c>
      <c r="K43" s="289" t="s">
        <v>136</v>
      </c>
      <c r="L43" s="289" t="s">
        <v>138</v>
      </c>
      <c r="M43" s="290" t="s">
        <v>149</v>
      </c>
      <c r="N43" s="289" t="s">
        <v>139</v>
      </c>
      <c r="O43" s="289" t="s">
        <v>141</v>
      </c>
      <c r="P43" s="289" t="s">
        <v>128</v>
      </c>
      <c r="Q43" s="516"/>
    </row>
    <row r="44" spans="1:17" ht="17.100000000000001" customHeight="1" thickTop="1" x14ac:dyDescent="0.2">
      <c r="A44" s="67">
        <v>75070</v>
      </c>
      <c r="B44" s="68" t="s">
        <v>29</v>
      </c>
      <c r="C44" s="291">
        <f>'HAPs - Turbines'!O6</f>
        <v>2.4071040000000002E-3</v>
      </c>
      <c r="D44" s="291">
        <f>'HAPs - Turbines'!Q6</f>
        <v>1.9103616000000002E-3</v>
      </c>
      <c r="E44" s="291">
        <f>'HAPs - Turbines'!S6</f>
        <v>6.9043968000000004E-3</v>
      </c>
      <c r="F44" s="308">
        <f>'HAPs - Turbines'!U6</f>
        <v>0</v>
      </c>
      <c r="G44" s="291">
        <f>'HAPs - Turbines'!W6</f>
        <v>4.1246524800000003E-4</v>
      </c>
      <c r="H44" s="292">
        <f>'HAPs - Turbines'!Y6</f>
        <v>4.5173844000000001E-4</v>
      </c>
      <c r="I44" s="292">
        <f>'HAPs - Turbines'!AA6</f>
        <v>3.5700556799999998E-4</v>
      </c>
      <c r="J44" s="292">
        <f>'HAPs - Turbines'!AC6</f>
        <v>3.5597375999999999E-4</v>
      </c>
      <c r="K44" s="292">
        <f>'HAPs - Diesel Engines &lt; 600 hp'!Q6</f>
        <v>1.4056042E-4</v>
      </c>
      <c r="L44" s="292">
        <f>'HAPs - Diesel Engines &lt; 600 hp'!S6</f>
        <v>3.4227374999999997E-4</v>
      </c>
      <c r="M44" s="292">
        <f>'HAPs - Diesel Engines &gt; 600'!I6</f>
        <v>6.0416999999999991E-8</v>
      </c>
      <c r="N44" s="292">
        <f>'HAPs - Diesel Engines &lt; 600 hp'!U6</f>
        <v>4.4495587499999994E-6</v>
      </c>
      <c r="O44" s="292">
        <f>'HAPs - Flares'!I6</f>
        <v>1.0713234999999998E-3</v>
      </c>
      <c r="P44" s="292">
        <f>'HAPs - Turbines'!AE6</f>
        <v>1.1570615279495999E-2</v>
      </c>
      <c r="Q44" s="206">
        <f t="shared" ref="Q44:Q52" si="13">SUM(C44:P44)</f>
        <v>2.5928328341245997E-2</v>
      </c>
    </row>
    <row r="45" spans="1:17" ht="17.100000000000001" customHeight="1" x14ac:dyDescent="0.2">
      <c r="A45" s="60">
        <v>107028</v>
      </c>
      <c r="B45" s="57" t="s">
        <v>30</v>
      </c>
      <c r="C45" s="291">
        <f>'HAPs - Turbines'!O7</f>
        <v>3.8513664E-4</v>
      </c>
      <c r="D45" s="291">
        <f>'HAPs - Turbines'!Q7</f>
        <v>3.0565785600000003E-4</v>
      </c>
      <c r="E45" s="291">
        <f>'HAPs - Turbines'!S7</f>
        <v>1.1047034879999998E-3</v>
      </c>
      <c r="F45" s="308">
        <f>'HAPs - Turbines'!U7</f>
        <v>0</v>
      </c>
      <c r="G45" s="291">
        <f>'HAPs - Turbines'!W7</f>
        <v>6.5994439680000001E-5</v>
      </c>
      <c r="H45" s="292">
        <f>'HAPs - Turbines'!Y7</f>
        <v>7.2278150399999991E-5</v>
      </c>
      <c r="I45" s="292">
        <f>'HAPs - Turbines'!AA7</f>
        <v>5.7120890879999995E-5</v>
      </c>
      <c r="J45" s="292">
        <f>'HAPs - Turbines'!AC7</f>
        <v>5.6955801599999993E-5</v>
      </c>
      <c r="K45" s="292">
        <f>'HAPs - Diesel Engines &lt; 600 hp'!Q7</f>
        <v>1.6951549999999999E-5</v>
      </c>
      <c r="L45" s="292">
        <f>'HAPs - Diesel Engines &lt; 600 hp'!S7</f>
        <v>4.1278125000000002E-5</v>
      </c>
      <c r="M45" s="292">
        <f>'HAPs - Diesel Engines &gt; 600'!I7</f>
        <v>1.8892300000000001E-8</v>
      </c>
      <c r="N45" s="292">
        <f>'HAPs - Diesel Engines &lt; 600 hp'!U7</f>
        <v>5.366156249999999E-7</v>
      </c>
      <c r="O45" s="292">
        <f>'HAPs - Flares'!I7</f>
        <v>2.4914499999999999E-4</v>
      </c>
      <c r="P45" s="292">
        <f>'HAPs - Turbines'!AE7</f>
        <v>1.8512984447193596E-3</v>
      </c>
      <c r="Q45" s="206">
        <f t="shared" si="13"/>
        <v>4.2070758942043592E-3</v>
      </c>
    </row>
    <row r="46" spans="1:17" ht="17.100000000000001" customHeight="1" x14ac:dyDescent="0.2">
      <c r="A46" s="5">
        <v>71432</v>
      </c>
      <c r="B46" s="58" t="s">
        <v>26</v>
      </c>
      <c r="C46" s="291">
        <f>'HAPs - Turbines'!O8</f>
        <v>7.2213119999999995E-4</v>
      </c>
      <c r="D46" s="291">
        <f>'HAPs - Turbines'!Q8</f>
        <v>5.7310848000000005E-4</v>
      </c>
      <c r="E46" s="291">
        <f>'HAPs - Turbines'!S8</f>
        <v>2.0713190400000001E-3</v>
      </c>
      <c r="F46" s="308">
        <f>'HAPs - Turbines'!U8</f>
        <v>0</v>
      </c>
      <c r="G46" s="291">
        <f>'HAPs - Turbines'!W8</f>
        <v>1.2373957439999999E-4</v>
      </c>
      <c r="H46" s="292">
        <f>'HAPs - Turbines'!Y8</f>
        <v>1.3552153200000001E-4</v>
      </c>
      <c r="I46" s="292">
        <f>'HAPs - Turbines'!AA8</f>
        <v>1.071016704E-4</v>
      </c>
      <c r="J46" s="292">
        <f>'HAPs - Turbines'!AC8</f>
        <v>1.0679212799999998E-4</v>
      </c>
      <c r="K46" s="292">
        <f>'HAPs - Diesel Engines &lt; 600 hp'!Q8</f>
        <v>1.7098157999999999E-4</v>
      </c>
      <c r="L46" s="292">
        <f>'HAPs - Diesel Engines &lt; 600 hp'!S8</f>
        <v>4.1635125E-4</v>
      </c>
      <c r="M46" s="292">
        <f>'HAPs - Diesel Engines &gt; 600'!I8</f>
        <v>1.86046E-6</v>
      </c>
      <c r="N46" s="292">
        <f>'HAPs - Diesel Engines &lt; 600 hp'!U8</f>
        <v>5.4125662499999998E-6</v>
      </c>
      <c r="O46" s="292">
        <f>'HAPs - Flares'!I8</f>
        <v>3.9614055E-3</v>
      </c>
      <c r="P46" s="292">
        <f>'HAPs - Turbines'!AE8</f>
        <v>3.4711845838487996E-3</v>
      </c>
      <c r="Q46" s="206">
        <f t="shared" si="13"/>
        <v>1.18669095648988E-2</v>
      </c>
    </row>
    <row r="47" spans="1:17" ht="17.100000000000001" customHeight="1" x14ac:dyDescent="0.2">
      <c r="A47" s="60">
        <v>106990</v>
      </c>
      <c r="B47" s="58" t="s">
        <v>31</v>
      </c>
      <c r="C47" s="291">
        <f>'HAPs - Turbines'!O9</f>
        <v>2.5876368000000001E-5</v>
      </c>
      <c r="D47" s="291">
        <f>'HAPs - Turbines'!Q9</f>
        <v>2.0536387200000003E-5</v>
      </c>
      <c r="E47" s="291">
        <f>'HAPs - Turbines'!S9</f>
        <v>7.422226560000001E-5</v>
      </c>
      <c r="F47" s="308">
        <f>'HAPs - Turbines'!U9</f>
        <v>0</v>
      </c>
      <c r="G47" s="291">
        <f>'HAPs - Turbines'!W9</f>
        <v>4.4340014160000003E-6</v>
      </c>
      <c r="H47" s="292">
        <f>'HAPs - Turbines'!Y9</f>
        <v>4.8561882300000001E-6</v>
      </c>
      <c r="I47" s="292">
        <f>'HAPs - Turbines'!AA9</f>
        <v>3.8378098560000001E-6</v>
      </c>
      <c r="J47" s="292">
        <f>'HAPs - Turbines'!AC9</f>
        <v>3.8267179199999999E-6</v>
      </c>
      <c r="K47" s="292">
        <f>'HAPs - Diesel Engines &lt; 600 hp'!Q9</f>
        <v>7.1654659999999997E-6</v>
      </c>
      <c r="L47" s="292">
        <f>'HAPs - Diesel Engines &lt; 600 hp'!S9</f>
        <v>1.7448375000000002E-5</v>
      </c>
      <c r="M47" s="292" t="s">
        <v>203</v>
      </c>
      <c r="N47" s="292">
        <f>'HAPs - Diesel Engines &lt; 600 hp'!U9</f>
        <v>2.26828875E-7</v>
      </c>
      <c r="O47" s="292" t="s">
        <v>203</v>
      </c>
      <c r="P47" s="292">
        <f>'HAPs - Turbines'!AE9</f>
        <v>1.2438411425458199E-4</v>
      </c>
      <c r="Q47" s="206">
        <f t="shared" si="13"/>
        <v>2.86814522351582E-4</v>
      </c>
    </row>
    <row r="48" spans="1:17" ht="17.100000000000001" customHeight="1" x14ac:dyDescent="0.2">
      <c r="A48" s="60">
        <v>100414</v>
      </c>
      <c r="B48" s="57" t="s">
        <v>32</v>
      </c>
      <c r="C48" s="291">
        <f>'HAPs - Turbines'!O10</f>
        <v>1.9256831999999999E-3</v>
      </c>
      <c r="D48" s="291">
        <f>'HAPs - Turbines'!Q10</f>
        <v>1.5282892799999999E-3</v>
      </c>
      <c r="E48" s="291">
        <f>'HAPs - Turbines'!S10</f>
        <v>5.5235174400000003E-3</v>
      </c>
      <c r="F48" s="308">
        <f>'HAPs - Turbines'!U10</f>
        <v>0</v>
      </c>
      <c r="G48" s="291">
        <f>'HAPs - Turbines'!W10</f>
        <v>3.2997219839999998E-4</v>
      </c>
      <c r="H48" s="292">
        <f>'HAPs - Turbines'!Y10</f>
        <v>3.6139075199999998E-4</v>
      </c>
      <c r="I48" s="292">
        <f>'HAPs - Turbines'!AA10</f>
        <v>2.8560445440000001E-4</v>
      </c>
      <c r="J48" s="292">
        <f>'HAPs - Turbines'!AC10</f>
        <v>2.8477900799999995E-4</v>
      </c>
      <c r="K48" s="292" t="s">
        <v>203</v>
      </c>
      <c r="L48" s="292" t="s">
        <v>203</v>
      </c>
      <c r="M48" s="292" t="s">
        <v>203</v>
      </c>
      <c r="N48" s="292" t="s">
        <v>203</v>
      </c>
      <c r="O48" s="292">
        <f>'HAPs - Flares'!I9</f>
        <v>3.5976537999999995E-2</v>
      </c>
      <c r="P48" s="292">
        <f>'HAPs - Turbines'!AE10</f>
        <v>9.2564922235967972E-3</v>
      </c>
      <c r="Q48" s="206">
        <f t="shared" si="13"/>
        <v>5.5472266556396796E-2</v>
      </c>
    </row>
    <row r="49" spans="1:17" ht="17.100000000000001" customHeight="1" x14ac:dyDescent="0.2">
      <c r="A49" s="60">
        <v>5000</v>
      </c>
      <c r="B49" s="57" t="s">
        <v>33</v>
      </c>
      <c r="C49" s="291">
        <f>'HAPs - Turbines'!O11</f>
        <v>4.2726095999999998E-2</v>
      </c>
      <c r="D49" s="291">
        <f>'HAPs - Turbines'!Q11</f>
        <v>3.3908918400000002E-2</v>
      </c>
      <c r="E49" s="293">
        <f>'HAPs - Turbines'!S11</f>
        <v>0.12255304320000002</v>
      </c>
      <c r="F49" s="308">
        <f>'HAPs - Turbines'!U11</f>
        <v>0</v>
      </c>
      <c r="G49" s="291">
        <f>'HAPs - Turbines'!W11</f>
        <v>7.321258152E-3</v>
      </c>
      <c r="H49" s="292">
        <f>'HAPs - Turbines'!Y11</f>
        <v>8.0183573099999982E-3</v>
      </c>
      <c r="I49" s="292">
        <f>'HAPs - Turbines'!AA11</f>
        <v>6.3368488320000001E-3</v>
      </c>
      <c r="J49" s="292">
        <f>'HAPs - Turbines'!AC11</f>
        <v>6.3185342399999997E-3</v>
      </c>
      <c r="K49" s="292">
        <f>'HAPs - Diesel Engines &lt; 600 hp'!Q10</f>
        <v>2.1624679999999999E-4</v>
      </c>
      <c r="L49" s="292">
        <f>'HAPs - Diesel Engines &lt; 600 hp'!S10</f>
        <v>5.2657500000000005E-4</v>
      </c>
      <c r="M49" s="292">
        <f>'HAPs - Diesel Engines &gt; 600'!I9</f>
        <v>1.8916274999999998E-7</v>
      </c>
      <c r="N49" s="292">
        <f>'HAPs - Diesel Engines &lt; 600 hp'!U10</f>
        <v>6.8454749999999999E-6</v>
      </c>
      <c r="O49" s="292">
        <f>'HAPs - Flares'!I10</f>
        <v>2.9125050499999999E-2</v>
      </c>
      <c r="P49" s="294">
        <f>'HAPs - Turbines'!AE11</f>
        <v>0.20537842121105396</v>
      </c>
      <c r="Q49" s="204">
        <f t="shared" si="13"/>
        <v>0.46243638428280398</v>
      </c>
    </row>
    <row r="50" spans="1:17" ht="17.100000000000001" customHeight="1" x14ac:dyDescent="0.2">
      <c r="A50" s="60">
        <v>110543</v>
      </c>
      <c r="B50" s="58" t="s">
        <v>27</v>
      </c>
      <c r="C50" s="295" t="s">
        <v>203</v>
      </c>
      <c r="D50" s="295" t="s">
        <v>203</v>
      </c>
      <c r="E50" s="295" t="s">
        <v>203</v>
      </c>
      <c r="F50" s="295" t="s">
        <v>203</v>
      </c>
      <c r="G50" s="295" t="s">
        <v>203</v>
      </c>
      <c r="H50" s="295" t="s">
        <v>203</v>
      </c>
      <c r="I50" s="295" t="s">
        <v>203</v>
      </c>
      <c r="J50" s="295" t="s">
        <v>203</v>
      </c>
      <c r="K50" s="292" t="s">
        <v>203</v>
      </c>
      <c r="L50" s="292" t="s">
        <v>203</v>
      </c>
      <c r="M50" s="292" t="s">
        <v>203</v>
      </c>
      <c r="N50" s="292" t="s">
        <v>203</v>
      </c>
      <c r="O50" s="292">
        <f>'HAPs - Flares'!I11</f>
        <v>7.225205E-4</v>
      </c>
      <c r="P50" s="292" t="s">
        <v>203</v>
      </c>
      <c r="Q50" s="206">
        <f t="shared" si="13"/>
        <v>7.225205E-4</v>
      </c>
    </row>
    <row r="51" spans="1:17" ht="17.100000000000001" customHeight="1" x14ac:dyDescent="0.2">
      <c r="A51" s="60" t="s">
        <v>7</v>
      </c>
      <c r="B51" s="58" t="s">
        <v>34</v>
      </c>
      <c r="C51" s="291">
        <f>'HAPs - Turbines'!O12</f>
        <v>1.3239072000000002E-4</v>
      </c>
      <c r="D51" s="291">
        <f>'HAPs - Turbines'!Q12</f>
        <v>1.0506988800000001E-4</v>
      </c>
      <c r="E51" s="291">
        <f>'HAPs - Turbines'!S12</f>
        <v>3.7974182400000008E-4</v>
      </c>
      <c r="F51" s="308">
        <f>'HAPs - Turbines'!U12</f>
        <v>0</v>
      </c>
      <c r="G51" s="291">
        <f>'HAPs - Turbines'!W12</f>
        <v>2.2685588640000001E-5</v>
      </c>
      <c r="H51" s="292">
        <f>'HAPs - Turbines'!Y12</f>
        <v>2.48456142E-5</v>
      </c>
      <c r="I51" s="292">
        <f>'HAPs - Turbines'!AA12</f>
        <v>1.963530624E-5</v>
      </c>
      <c r="J51" s="292">
        <f>'HAPs - Turbines'!AC12</f>
        <v>1.9578556800000002E-5</v>
      </c>
      <c r="K51" s="292">
        <f>'HAPs - Diesel Engines &lt; 600 hp'!Q11</f>
        <v>3.0787679999999995E-5</v>
      </c>
      <c r="L51" s="292">
        <f>'HAPs - Diesel Engines &lt; 600 hp'!S11</f>
        <v>7.4969999999999995E-5</v>
      </c>
      <c r="M51" s="292">
        <f>'HAPs - Diesel Engines &gt; 600'!I10</f>
        <v>5.0715036749999999E-7</v>
      </c>
      <c r="N51" s="292">
        <f>'HAPs - Diesel Engines &lt; 600 hp'!U11</f>
        <v>9.746099999999998E-7</v>
      </c>
      <c r="O51" s="292">
        <f>'HAPs - Flares'!I12</f>
        <v>3.4880300000000001E-4</v>
      </c>
      <c r="P51" s="292">
        <f>'HAPs - Turbines'!AE12</f>
        <v>6.3638384037227992E-4</v>
      </c>
      <c r="Q51" s="206">
        <f t="shared" si="13"/>
        <v>1.79637377861978E-3</v>
      </c>
    </row>
    <row r="52" spans="1:17" ht="17.100000000000001" customHeight="1" x14ac:dyDescent="0.2">
      <c r="A52" s="60">
        <v>91203</v>
      </c>
      <c r="B52" s="58" t="s">
        <v>36</v>
      </c>
      <c r="C52" s="291">
        <f>'HAPs - Turbines'!O13</f>
        <v>7.8230880000000009E-5</v>
      </c>
      <c r="D52" s="291">
        <f>'HAPs - Turbines'!Q13</f>
        <v>6.2086752000000005E-5</v>
      </c>
      <c r="E52" s="291">
        <f>'HAPs - Turbines'!S13</f>
        <v>2.2439289600000004E-4</v>
      </c>
      <c r="F52" s="308">
        <f>'HAPs - Turbines'!U13</f>
        <v>0</v>
      </c>
      <c r="G52" s="291">
        <f>'HAPs - Turbines'!W13</f>
        <v>1.3405120560000002E-5</v>
      </c>
      <c r="H52" s="292">
        <f>'HAPs - Turbines'!Y13</f>
        <v>1.4681499299999999E-5</v>
      </c>
      <c r="I52" s="292">
        <f>'HAPs - Turbines'!AA13</f>
        <v>1.160268096E-5</v>
      </c>
      <c r="J52" s="292">
        <f>'HAPs - Turbines'!AC13</f>
        <v>1.1569147199999999E-5</v>
      </c>
      <c r="K52" s="292" t="s">
        <v>203</v>
      </c>
      <c r="L52" s="292" t="s">
        <v>203</v>
      </c>
      <c r="M52" s="292" t="s">
        <v>203</v>
      </c>
      <c r="N52" s="292" t="s">
        <v>203</v>
      </c>
      <c r="O52" s="292" t="s">
        <v>203</v>
      </c>
      <c r="P52" s="292">
        <f>'HAPs - Turbines'!AE13</f>
        <v>3.7604499658361996E-4</v>
      </c>
      <c r="Q52" s="206">
        <f t="shared" si="13"/>
        <v>7.9201397260361998E-4</v>
      </c>
    </row>
    <row r="53" spans="1:17" ht="17.100000000000001" customHeight="1" x14ac:dyDescent="0.2">
      <c r="A53" s="60">
        <v>75569</v>
      </c>
      <c r="B53" s="58" t="s">
        <v>173</v>
      </c>
      <c r="C53" s="291">
        <f>'HAPs - Turbines'!O14</f>
        <v>1.7451503999999999E-3</v>
      </c>
      <c r="D53" s="291">
        <f>'HAPs - Turbines'!Q14</f>
        <v>1.3850121600000001E-3</v>
      </c>
      <c r="E53" s="291">
        <f>'HAPs - Turbines'!S14</f>
        <v>5.0056876800000007E-3</v>
      </c>
      <c r="F53" s="308">
        <f>'HAPs - Turbines'!U14</f>
        <v>0</v>
      </c>
      <c r="G53" s="291">
        <f>'HAPs - Turbines'!W14</f>
        <v>2.9903730480000001E-4</v>
      </c>
      <c r="H53" s="292">
        <f>'HAPs - Turbines'!Y14</f>
        <v>3.2751036899999998E-4</v>
      </c>
      <c r="I53" s="292">
        <f>'HAPs - Turbines'!AA14</f>
        <v>2.5882903679999998E-4</v>
      </c>
      <c r="J53" s="292">
        <f>'HAPs - Turbines'!AC14</f>
        <v>2.5808097599999994E-4</v>
      </c>
      <c r="K53" s="292" t="s">
        <v>203</v>
      </c>
      <c r="L53" s="292" t="s">
        <v>203</v>
      </c>
      <c r="M53" s="292" t="s">
        <v>203</v>
      </c>
      <c r="N53" s="292" t="s">
        <v>203</v>
      </c>
      <c r="O53" s="292" t="s">
        <v>203</v>
      </c>
      <c r="P53" s="292">
        <f>'HAPs - Turbines'!AE14</f>
        <v>8.3886960776345994E-3</v>
      </c>
      <c r="Q53" s="206">
        <f t="shared" ref="Q53:Q54" si="14">SUM(C53:P53)</f>
        <v>1.76680040042346E-2</v>
      </c>
    </row>
    <row r="54" spans="1:17" ht="17.100000000000001" customHeight="1" x14ac:dyDescent="0.2">
      <c r="A54" s="60">
        <v>108883</v>
      </c>
      <c r="B54" s="58" t="s">
        <v>35</v>
      </c>
      <c r="C54" s="291">
        <f>'HAPs - Turbines'!O15</f>
        <v>7.8230879999999989E-3</v>
      </c>
      <c r="D54" s="291">
        <f>'HAPs - Turbines'!Q15</f>
        <v>6.2086751999999995E-3</v>
      </c>
      <c r="E54" s="291">
        <f>'HAPs - Turbines'!S15</f>
        <v>2.2439289599999999E-2</v>
      </c>
      <c r="F54" s="308">
        <f>'HAPs - Turbines'!U15</f>
        <v>0</v>
      </c>
      <c r="G54" s="291">
        <f>'HAPs - Turbines'!W15</f>
        <v>1.3405120559999999E-3</v>
      </c>
      <c r="H54" s="292">
        <f>'HAPs - Turbines'!Y15</f>
        <v>1.4681499299999997E-3</v>
      </c>
      <c r="I54" s="292">
        <f>'HAPs - Turbines'!AA15</f>
        <v>1.1602680959999997E-3</v>
      </c>
      <c r="J54" s="292">
        <f>'HAPs - Turbines'!AC15</f>
        <v>1.1569147199999999E-3</v>
      </c>
      <c r="K54" s="292">
        <f>'HAPs - Diesel Engines &lt; 600 hp'!Q12</f>
        <v>7.4953339999999995E-5</v>
      </c>
      <c r="L54" s="292">
        <f>'HAPs - Diesel Engines &lt; 600 hp'!S12</f>
        <v>1.8251625000000003E-4</v>
      </c>
      <c r="M54" s="292">
        <f>'HAPs - Diesel Engines &gt; 600'!I11</f>
        <v>6.7369749999999994E-7</v>
      </c>
      <c r="N54" s="292">
        <f>'HAPs - Diesel Engines &lt; 600 hp'!U12</f>
        <v>2.3727112499999997E-6</v>
      </c>
      <c r="O54" s="292">
        <f>'HAPs - Flares'!I13</f>
        <v>1.445041E-3</v>
      </c>
      <c r="P54" s="292">
        <f>'HAPs - Turbines'!AE15</f>
        <v>3.7604499658361989E-2</v>
      </c>
      <c r="Q54" s="206">
        <f t="shared" si="14"/>
        <v>8.0906954259111985E-2</v>
      </c>
    </row>
    <row r="55" spans="1:17" ht="17.100000000000001" customHeight="1" thickBot="1" x14ac:dyDescent="0.25">
      <c r="A55" s="62">
        <v>106423</v>
      </c>
      <c r="B55" s="63" t="s">
        <v>37</v>
      </c>
      <c r="C55" s="296">
        <f>'HAPs - Turbines'!O16</f>
        <v>3.8513663999999999E-3</v>
      </c>
      <c r="D55" s="296">
        <f>'HAPs - Turbines'!Q16</f>
        <v>3.0565785599999998E-3</v>
      </c>
      <c r="E55" s="296">
        <f>'HAPs - Turbines'!S16</f>
        <v>1.1047034880000001E-2</v>
      </c>
      <c r="F55" s="309">
        <f>'HAPs - Turbines'!U16</f>
        <v>0</v>
      </c>
      <c r="G55" s="296">
        <f>'HAPs - Turbines'!W16</f>
        <v>6.5994439679999996E-4</v>
      </c>
      <c r="H55" s="297">
        <f>'HAPs - Turbines'!Y16</f>
        <v>7.2278150399999997E-4</v>
      </c>
      <c r="I55" s="297">
        <f>'HAPs - Turbines'!AA16</f>
        <v>5.7120890880000001E-4</v>
      </c>
      <c r="J55" s="297">
        <f>'HAPs - Turbines'!AC16</f>
        <v>5.6955801599999989E-4</v>
      </c>
      <c r="K55" s="297">
        <f>'HAPs - Diesel Engines &lt; 600 hp'!Q13</f>
        <v>5.2229099999999991E-5</v>
      </c>
      <c r="L55" s="297">
        <f>'HAPs - Diesel Engines &lt; 600 hp'!S13</f>
        <v>1.2718125E-4</v>
      </c>
      <c r="M55" s="297">
        <f>'HAPs - Diesel Engines &gt; 600'!I12</f>
        <v>4.6271749999999999E-7</v>
      </c>
      <c r="N55" s="297">
        <f>'HAPs - Diesel Engines &lt; 600 hp'!U13</f>
        <v>1.6533562499999998E-6</v>
      </c>
      <c r="O55" s="297">
        <f>'HAPs - Flares'!I14</f>
        <v>7.225205E-4</v>
      </c>
      <c r="P55" s="297">
        <f>'HAPs - Turbines'!AE16</f>
        <v>1.8512984447193594E-2</v>
      </c>
      <c r="Q55" s="235">
        <f>SUM(C55:P55)</f>
        <v>3.98955040365436E-2</v>
      </c>
    </row>
    <row r="56" spans="1:17" ht="17.100000000000001" customHeight="1" thickBot="1" x14ac:dyDescent="0.25">
      <c r="B56" s="45" t="s">
        <v>23</v>
      </c>
      <c r="C56" s="310">
        <f t="shared" ref="C56:P56" si="15">SUM(C44:C55)</f>
        <v>6.1822253808000001E-2</v>
      </c>
      <c r="D56" s="296">
        <f t="shared" si="15"/>
        <v>4.9064294563200002E-2</v>
      </c>
      <c r="E56" s="299">
        <f t="shared" si="15"/>
        <v>0.17732734911360001</v>
      </c>
      <c r="F56" s="309">
        <f t="shared" si="15"/>
        <v>0</v>
      </c>
      <c r="G56" s="296">
        <f t="shared" si="15"/>
        <v>1.0593448080696E-2</v>
      </c>
      <c r="H56" s="296">
        <f t="shared" si="15"/>
        <v>1.1602111289129998E-2</v>
      </c>
      <c r="I56" s="296">
        <f t="shared" si="15"/>
        <v>9.169063254336E-3</v>
      </c>
      <c r="J56" s="296">
        <f t="shared" si="15"/>
        <v>9.1425630715199994E-3</v>
      </c>
      <c r="K56" s="296">
        <f t="shared" si="15"/>
        <v>7.0987593599999995E-4</v>
      </c>
      <c r="L56" s="296">
        <f t="shared" si="15"/>
        <v>1.728594E-3</v>
      </c>
      <c r="M56" s="296">
        <f t="shared" si="15"/>
        <v>3.7724974175000003E-6</v>
      </c>
      <c r="N56" s="296">
        <f t="shared" si="15"/>
        <v>2.2471722000000001E-5</v>
      </c>
      <c r="O56" s="296">
        <f t="shared" si="15"/>
        <v>7.3622347499999991E-2</v>
      </c>
      <c r="P56" s="299">
        <f t="shared" si="15"/>
        <v>0.29717100487711556</v>
      </c>
      <c r="Q56" s="285">
        <f>SUM(C56:P56)</f>
        <v>0.70197914971301512</v>
      </c>
    </row>
    <row r="57" spans="1:17" x14ac:dyDescent="0.2">
      <c r="C57" s="311"/>
      <c r="D57" s="311"/>
      <c r="E57" s="311"/>
      <c r="G57" s="302"/>
      <c r="H57" s="303"/>
      <c r="I57" s="303"/>
      <c r="J57" s="303"/>
      <c r="K57" s="304"/>
      <c r="L57" s="304"/>
      <c r="M57" s="303"/>
      <c r="N57" s="304"/>
      <c r="O57" s="304"/>
      <c r="P57" s="307"/>
      <c r="Q57" s="51"/>
    </row>
    <row r="58" spans="1:17" x14ac:dyDescent="0.2">
      <c r="A58" s="34"/>
      <c r="Q58" s="51"/>
    </row>
    <row r="59" spans="1:17" x14ac:dyDescent="0.2">
      <c r="A59" s="34"/>
    </row>
  </sheetData>
  <mergeCells count="18">
    <mergeCell ref="A20:Q20"/>
    <mergeCell ref="A21:Q21"/>
    <mergeCell ref="A39:Q39"/>
    <mergeCell ref="A40:Q40"/>
    <mergeCell ref="A1:Q1"/>
    <mergeCell ref="A2:Q2"/>
    <mergeCell ref="C4:P4"/>
    <mergeCell ref="B4:B5"/>
    <mergeCell ref="A4:A5"/>
    <mergeCell ref="Q4:Q5"/>
    <mergeCell ref="A42:A43"/>
    <mergeCell ref="B42:B43"/>
    <mergeCell ref="C42:P42"/>
    <mergeCell ref="Q42:Q43"/>
    <mergeCell ref="A23:A24"/>
    <mergeCell ref="B23:B24"/>
    <mergeCell ref="Q23:Q24"/>
    <mergeCell ref="C23:P23"/>
  </mergeCells>
  <phoneticPr fontId="11" type="noConversion"/>
  <printOptions horizontalCentered="1"/>
  <pageMargins left="0.5" right="0.5" top="0.5" bottom="0.5" header="0.3" footer="0.3"/>
  <pageSetup scale="60" orientation="landscape" r:id="rId1"/>
  <headerFooter scaleWithDoc="0">
    <oddFooter>&amp;L&amp;"Arial,Regular"&amp;9Hilcorp Alaska, LLC
Grayling Platform
Title V Renewal Application&amp;C&amp;"Arial,Regular"&amp;9Page D-&amp;P&amp;R&amp;"Arial,Regular"&amp;9December 2022</oddFooter>
  </headerFooter>
  <rowBreaks count="2" manualBreakCount="2">
    <brk id="19" max="16383" man="1"/>
    <brk id="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600F5-CA09-4AD6-B7FA-CA7549D550F6}">
  <dimension ref="A1:J29"/>
  <sheetViews>
    <sheetView view="pageBreakPreview" zoomScale="90" zoomScaleNormal="100" zoomScaleSheetLayoutView="90" workbookViewId="0">
      <selection activeCell="F15" sqref="F15"/>
    </sheetView>
  </sheetViews>
  <sheetFormatPr defaultColWidth="9.140625" defaultRowHeight="12.75" x14ac:dyDescent="0.2"/>
  <cols>
    <col min="1" max="1" width="11.42578125" style="2" customWidth="1"/>
    <col min="2" max="2" width="41.28515625" style="23" bestFit="1" customWidth="1"/>
    <col min="3" max="3" width="15.85546875" style="1" customWidth="1"/>
    <col min="4" max="4" width="14.42578125" style="2" customWidth="1"/>
    <col min="5" max="9" width="16.28515625" style="2" customWidth="1"/>
    <col min="10" max="16384" width="9.140625" style="1"/>
  </cols>
  <sheetData>
    <row r="1" spans="1:10" ht="17.100000000000001" customHeight="1" x14ac:dyDescent="0.2">
      <c r="A1" s="517" t="s">
        <v>209</v>
      </c>
      <c r="B1" s="517"/>
      <c r="C1" s="517"/>
      <c r="D1" s="517"/>
      <c r="E1" s="517"/>
      <c r="F1" s="517"/>
      <c r="G1" s="517"/>
      <c r="H1" s="517"/>
      <c r="I1" s="517"/>
      <c r="J1" s="517"/>
    </row>
    <row r="2" spans="1:10" ht="17.100000000000001" customHeight="1" x14ac:dyDescent="0.2">
      <c r="A2" s="517" t="str">
        <f>Inventory!A2</f>
        <v>Hilcorp Alaska, LLC - Grayling Platform</v>
      </c>
      <c r="B2" s="517"/>
      <c r="C2" s="517"/>
      <c r="D2" s="517"/>
      <c r="E2" s="517"/>
      <c r="F2" s="517"/>
      <c r="G2" s="517"/>
      <c r="H2" s="517"/>
      <c r="I2" s="517"/>
      <c r="J2" s="517"/>
    </row>
    <row r="3" spans="1:10" ht="17.100000000000001" customHeight="1" thickBot="1" x14ac:dyDescent="0.25">
      <c r="A3" s="52"/>
      <c r="B3" s="52"/>
      <c r="C3" s="52"/>
      <c r="D3" s="52"/>
      <c r="E3" s="52"/>
      <c r="F3" s="52"/>
      <c r="G3" s="52"/>
      <c r="H3" s="52"/>
      <c r="I3" s="52"/>
    </row>
    <row r="4" spans="1:10" ht="17.100000000000001" customHeight="1" x14ac:dyDescent="0.2">
      <c r="A4" s="518" t="s">
        <v>45</v>
      </c>
      <c r="B4" s="520" t="s">
        <v>28</v>
      </c>
      <c r="C4" s="522" t="s">
        <v>61</v>
      </c>
      <c r="D4" s="523"/>
      <c r="E4" s="523"/>
      <c r="F4" s="523"/>
      <c r="G4" s="523"/>
      <c r="H4" s="523"/>
      <c r="I4" s="523"/>
      <c r="J4" s="524"/>
    </row>
    <row r="5" spans="1:10" ht="31.5" customHeight="1" thickBot="1" x14ac:dyDescent="0.25">
      <c r="A5" s="519"/>
      <c r="B5" s="521"/>
      <c r="C5" s="236" t="s">
        <v>146</v>
      </c>
      <c r="D5" s="236" t="s">
        <v>147</v>
      </c>
      <c r="E5" s="236" t="s">
        <v>148</v>
      </c>
      <c r="F5" s="237" t="s">
        <v>150</v>
      </c>
      <c r="G5" s="237" t="s">
        <v>152</v>
      </c>
      <c r="H5" s="237" t="s">
        <v>151</v>
      </c>
      <c r="I5" s="237" t="s">
        <v>351</v>
      </c>
      <c r="J5" s="121" t="s">
        <v>23</v>
      </c>
    </row>
    <row r="6" spans="1:10" ht="17.100000000000001" customHeight="1" thickTop="1" x14ac:dyDescent="0.2">
      <c r="A6" s="5">
        <v>71432</v>
      </c>
      <c r="B6" s="58" t="s">
        <v>26</v>
      </c>
      <c r="C6" s="201">
        <f>'HAPs - Gas Boilers'!G6</f>
        <v>2.2610619469026546E-5</v>
      </c>
      <c r="D6" s="72">
        <f>'HAPs - Diesel Heaters'!E6</f>
        <v>5.4734014598540145E-5</v>
      </c>
      <c r="E6" s="72">
        <f>'HAPs - Gas Boilers'!I6</f>
        <v>1.5139618584070795E-5</v>
      </c>
      <c r="F6" s="208">
        <f>'HAPs - Gas Boilers'!E6</f>
        <v>3.6176991150442475E-5</v>
      </c>
      <c r="G6" s="208">
        <f t="shared" ref="G6:G26" si="0">F6</f>
        <v>3.6176991150442475E-5</v>
      </c>
      <c r="H6" s="208">
        <f t="shared" ref="H6:H26" si="1">F6</f>
        <v>3.6176991150442475E-5</v>
      </c>
      <c r="I6" s="208">
        <f>'Diesel Tank'!B31</f>
        <v>1.5499716678235852E-4</v>
      </c>
      <c r="J6" s="206">
        <f>SUM(C6:I6)</f>
        <v>3.560123928853234E-4</v>
      </c>
    </row>
    <row r="7" spans="1:10" ht="17.100000000000001" customHeight="1" x14ac:dyDescent="0.2">
      <c r="A7" s="5">
        <v>98828</v>
      </c>
      <c r="B7" s="58" t="s">
        <v>279</v>
      </c>
      <c r="C7" s="202" t="s">
        <v>203</v>
      </c>
      <c r="D7" s="202" t="s">
        <v>203</v>
      </c>
      <c r="E7" s="202" t="s">
        <v>203</v>
      </c>
      <c r="F7" s="202" t="s">
        <v>203</v>
      </c>
      <c r="G7" s="202" t="s">
        <v>203</v>
      </c>
      <c r="H7" s="202" t="s">
        <v>203</v>
      </c>
      <c r="I7" s="208">
        <f>'Diesel Tank'!B32</f>
        <v>3.015509081368843E-6</v>
      </c>
      <c r="J7" s="206">
        <f>SUM(C7:I7)</f>
        <v>3.015509081368843E-6</v>
      </c>
    </row>
    <row r="8" spans="1:10" ht="17.100000000000001" customHeight="1" x14ac:dyDescent="0.2">
      <c r="A8" s="60">
        <v>106467</v>
      </c>
      <c r="B8" s="57" t="s">
        <v>179</v>
      </c>
      <c r="C8" s="201">
        <f>'HAPs - Gas Boilers'!G7</f>
        <v>1.2920353982300884E-5</v>
      </c>
      <c r="D8" s="202" t="s">
        <v>203</v>
      </c>
      <c r="E8" s="72">
        <f>'HAPs - Gas Boilers'!I7</f>
        <v>8.6512106194690267E-6</v>
      </c>
      <c r="F8" s="208">
        <f>'HAPs - Gas Boilers'!E7</f>
        <v>2.0672566371681414E-5</v>
      </c>
      <c r="G8" s="208">
        <f t="shared" si="0"/>
        <v>2.0672566371681414E-5</v>
      </c>
      <c r="H8" s="208">
        <f t="shared" si="1"/>
        <v>2.0672566371681414E-5</v>
      </c>
      <c r="I8" s="208" t="s">
        <v>203</v>
      </c>
      <c r="J8" s="206">
        <f t="shared" ref="J8:J25" si="2">SUM(C8:I8)</f>
        <v>8.3589263716814163E-5</v>
      </c>
    </row>
    <row r="9" spans="1:10" ht="17.100000000000001" customHeight="1" x14ac:dyDescent="0.2">
      <c r="A9" s="60">
        <v>100414</v>
      </c>
      <c r="B9" s="57" t="s">
        <v>32</v>
      </c>
      <c r="C9" s="202" t="s">
        <v>203</v>
      </c>
      <c r="D9" s="72">
        <f>'HAPs - Diesel Heaters'!E7</f>
        <v>1.6266744525547445E-5</v>
      </c>
      <c r="E9" s="202" t="s">
        <v>203</v>
      </c>
      <c r="F9" s="202" t="s">
        <v>203</v>
      </c>
      <c r="G9" s="208" t="str">
        <f t="shared" si="0"/>
        <v>--</v>
      </c>
      <c r="H9" s="208" t="str">
        <f t="shared" si="1"/>
        <v>--</v>
      </c>
      <c r="I9" s="208">
        <f>'Diesel Tank'!B33</f>
        <v>1.9299258120760598E-5</v>
      </c>
      <c r="J9" s="206">
        <f t="shared" si="2"/>
        <v>3.5566002646308043E-5</v>
      </c>
    </row>
    <row r="10" spans="1:10" ht="17.100000000000001" customHeight="1" x14ac:dyDescent="0.2">
      <c r="A10" s="60">
        <v>5000</v>
      </c>
      <c r="B10" s="57" t="s">
        <v>33</v>
      </c>
      <c r="C10" s="201">
        <f>'HAPs - Gas Boilers'!G8</f>
        <v>8.0752212389380534E-4</v>
      </c>
      <c r="D10" s="72">
        <f>'HAPs - Diesel Heaters'!E8</f>
        <v>8.4402919708029198E-3</v>
      </c>
      <c r="E10" s="72">
        <f>'HAPs - Gas Boilers'!I8</f>
        <v>5.4070066371681412E-4</v>
      </c>
      <c r="F10" s="208">
        <f>'HAPs - Gas Boilers'!E8</f>
        <v>1.2920353982300884E-3</v>
      </c>
      <c r="G10" s="208">
        <f t="shared" si="0"/>
        <v>1.2920353982300884E-3</v>
      </c>
      <c r="H10" s="208">
        <f t="shared" si="1"/>
        <v>1.2920353982300884E-3</v>
      </c>
      <c r="I10" s="208" t="s">
        <v>203</v>
      </c>
      <c r="J10" s="206">
        <f t="shared" si="2"/>
        <v>1.3664620953103803E-2</v>
      </c>
    </row>
    <row r="11" spans="1:10" ht="17.100000000000001" customHeight="1" x14ac:dyDescent="0.2">
      <c r="A11" s="60">
        <v>110543</v>
      </c>
      <c r="B11" s="58" t="s">
        <v>27</v>
      </c>
      <c r="C11" s="201">
        <f>'HAPs - Gas Boilers'!G9</f>
        <v>1.938053097345133E-2</v>
      </c>
      <c r="D11" s="202" t="s">
        <v>203</v>
      </c>
      <c r="E11" s="72">
        <f>'HAPs - Gas Boilers'!I9</f>
        <v>1.2976815929203541E-2</v>
      </c>
      <c r="F11" s="208">
        <f>'HAPs - Gas Boilers'!E9</f>
        <v>3.1008849557522124E-2</v>
      </c>
      <c r="G11" s="208">
        <f t="shared" si="0"/>
        <v>3.1008849557522124E-2</v>
      </c>
      <c r="H11" s="208">
        <f t="shared" si="1"/>
        <v>3.1008849557522124E-2</v>
      </c>
      <c r="I11" s="208">
        <f>'Diesel Tank'!B34</f>
        <v>3.3834011892958419E-4</v>
      </c>
      <c r="J11" s="206">
        <f t="shared" si="2"/>
        <v>0.12572223569415081</v>
      </c>
    </row>
    <row r="12" spans="1:10" ht="17.100000000000001" customHeight="1" x14ac:dyDescent="0.2">
      <c r="A12" s="60" t="s">
        <v>7</v>
      </c>
      <c r="B12" s="58" t="s">
        <v>34</v>
      </c>
      <c r="C12" s="201">
        <f>'HAPs - Gas Boilers'!G10</f>
        <v>9.4964601769911499E-7</v>
      </c>
      <c r="D12" s="72">
        <f>'HAPs - Diesel Heaters'!E9</f>
        <v>8.4402919708029191E-4</v>
      </c>
      <c r="E12" s="72">
        <f>'HAPs - Gas Boilers'!I10</f>
        <v>6.3586398053097342E-7</v>
      </c>
      <c r="F12" s="208">
        <f>'HAPs - Gas Boilers'!E10</f>
        <v>1.5194336283185842E-6</v>
      </c>
      <c r="G12" s="208">
        <f t="shared" si="0"/>
        <v>1.5194336283185842E-6</v>
      </c>
      <c r="H12" s="208">
        <f t="shared" si="1"/>
        <v>1.5194336283185842E-6</v>
      </c>
      <c r="I12" s="208" t="s">
        <v>203</v>
      </c>
      <c r="J12" s="206">
        <f t="shared" si="2"/>
        <v>8.5017300796347772E-4</v>
      </c>
    </row>
    <row r="13" spans="1:10" ht="17.100000000000001" customHeight="1" x14ac:dyDescent="0.2">
      <c r="A13" s="60">
        <v>91203</v>
      </c>
      <c r="B13" s="58" t="s">
        <v>36</v>
      </c>
      <c r="C13" s="201">
        <f>'HAPs - Gas Boilers'!G11</f>
        <v>6.5678466076696162E-6</v>
      </c>
      <c r="D13" s="72">
        <f>'HAPs - Diesel Heaters'!E10</f>
        <v>2.8901605839416056E-4</v>
      </c>
      <c r="E13" s="72">
        <f>'HAPs - Gas Boilers'!I11</f>
        <v>4.3976987315634218E-6</v>
      </c>
      <c r="F13" s="208">
        <f>'HAPs - Gas Boilers'!E11</f>
        <v>1.0508554572271386E-5</v>
      </c>
      <c r="G13" s="208">
        <f t="shared" si="0"/>
        <v>1.0508554572271386E-5</v>
      </c>
      <c r="H13" s="208">
        <f t="shared" si="1"/>
        <v>1.0508554572271386E-5</v>
      </c>
      <c r="I13" s="208" t="s">
        <v>203</v>
      </c>
      <c r="J13" s="206">
        <f t="shared" si="2"/>
        <v>3.3150726745020785E-4</v>
      </c>
    </row>
    <row r="14" spans="1:10" ht="17.100000000000001" customHeight="1" x14ac:dyDescent="0.2">
      <c r="A14" s="60">
        <v>108883</v>
      </c>
      <c r="B14" s="58" t="s">
        <v>35</v>
      </c>
      <c r="C14" s="201">
        <f>'HAPs - Gas Boilers'!G12</f>
        <v>3.6607669616519172E-5</v>
      </c>
      <c r="D14" s="72">
        <f>'HAPs - Diesel Heaters'!E11</f>
        <v>1.5857518248175181E-3</v>
      </c>
      <c r="E14" s="72">
        <f>'HAPs - Gas Boilers'!I12</f>
        <v>2.4511763421828906E-5</v>
      </c>
      <c r="F14" s="208">
        <f>'HAPs - Gas Boilers'!E12</f>
        <v>5.8572271386430677E-5</v>
      </c>
      <c r="G14" s="208">
        <f t="shared" si="0"/>
        <v>5.8572271386430677E-5</v>
      </c>
      <c r="H14" s="208">
        <f t="shared" si="1"/>
        <v>5.8572271386430677E-5</v>
      </c>
      <c r="I14" s="208">
        <f>'Diesel Tank'!B35</f>
        <v>1.2423897415239635E-4</v>
      </c>
      <c r="J14" s="206">
        <f t="shared" si="2"/>
        <v>1.9468270461675547E-3</v>
      </c>
    </row>
    <row r="15" spans="1:10" ht="17.100000000000001" customHeight="1" x14ac:dyDescent="0.2">
      <c r="A15" s="60">
        <v>71556</v>
      </c>
      <c r="B15" s="58" t="s">
        <v>185</v>
      </c>
      <c r="C15" s="202" t="s">
        <v>203</v>
      </c>
      <c r="D15" s="72">
        <f>'HAPs - Diesel Heaters'!E12</f>
        <v>6.0360875912408751E-5</v>
      </c>
      <c r="E15" s="202" t="s">
        <v>203</v>
      </c>
      <c r="F15" s="202" t="s">
        <v>203</v>
      </c>
      <c r="G15" s="202" t="s">
        <v>203</v>
      </c>
      <c r="H15" s="202" t="s">
        <v>203</v>
      </c>
      <c r="I15" s="208" t="s">
        <v>203</v>
      </c>
      <c r="J15" s="206">
        <f t="shared" si="2"/>
        <v>6.0360875912408751E-5</v>
      </c>
    </row>
    <row r="16" spans="1:10" ht="17.100000000000001" customHeight="1" x14ac:dyDescent="0.2">
      <c r="A16" s="60">
        <v>106423</v>
      </c>
      <c r="B16" s="58" t="s">
        <v>37</v>
      </c>
      <c r="C16" s="202" t="s">
        <v>203</v>
      </c>
      <c r="D16" s="72">
        <f>'HAPs - Diesel Heaters'!E13</f>
        <v>2.78785401459854E-5</v>
      </c>
      <c r="E16" s="202" t="s">
        <v>203</v>
      </c>
      <c r="F16" s="202" t="s">
        <v>203</v>
      </c>
      <c r="G16" s="208" t="str">
        <f t="shared" si="0"/>
        <v>--</v>
      </c>
      <c r="H16" s="208" t="str">
        <f t="shared" si="1"/>
        <v>--</v>
      </c>
      <c r="I16" s="208">
        <f>'Diesel Tank'!B36</f>
        <v>7.8403236115589921E-6</v>
      </c>
      <c r="J16" s="206">
        <f t="shared" si="2"/>
        <v>3.5718863757544391E-5</v>
      </c>
    </row>
    <row r="17" spans="1:10" ht="17.100000000000001" customHeight="1" x14ac:dyDescent="0.2">
      <c r="A17" s="5" t="s">
        <v>7</v>
      </c>
      <c r="B17" s="58" t="s">
        <v>38</v>
      </c>
      <c r="C17" s="201">
        <f>'HAPs - Gas Boilers'!G13</f>
        <v>2.153392330383481E-6</v>
      </c>
      <c r="D17" s="72">
        <f>'HAPs - Diesel Heaters'!E14</f>
        <v>1.4016000000000001E-4</v>
      </c>
      <c r="E17" s="72">
        <f>'HAPs - Gas Boilers'!I13</f>
        <v>1.4418684365781711E-6</v>
      </c>
      <c r="F17" s="208">
        <f>'HAPs - Gas Boilers'!E13</f>
        <v>3.4454277286135694E-6</v>
      </c>
      <c r="G17" s="208">
        <f t="shared" si="0"/>
        <v>3.4454277286135694E-6</v>
      </c>
      <c r="H17" s="208">
        <f t="shared" si="1"/>
        <v>3.4454277286135694E-6</v>
      </c>
      <c r="I17" s="208" t="s">
        <v>203</v>
      </c>
      <c r="J17" s="206">
        <f t="shared" si="2"/>
        <v>1.5409154395280237E-4</v>
      </c>
    </row>
    <row r="18" spans="1:10" ht="17.100000000000001" customHeight="1" x14ac:dyDescent="0.2">
      <c r="A18" s="5" t="s">
        <v>7</v>
      </c>
      <c r="B18" s="58" t="s">
        <v>143</v>
      </c>
      <c r="C18" s="201">
        <f>'HAPs - Gas Boilers'!G14</f>
        <v>1.2920353982300884E-7</v>
      </c>
      <c r="D18" s="72">
        <f>'HAPs - Diesel Heaters'!E15</f>
        <v>1.0512000000000001E-4</v>
      </c>
      <c r="E18" s="72">
        <f>'HAPs - Gas Boilers'!I14</f>
        <v>8.6512106194690273E-8</v>
      </c>
      <c r="F18" s="208">
        <f>'HAPs - Gas Boilers'!E14</f>
        <v>2.0672566371681417E-7</v>
      </c>
      <c r="G18" s="208">
        <f t="shared" si="0"/>
        <v>2.0672566371681417E-7</v>
      </c>
      <c r="H18" s="208">
        <f t="shared" si="1"/>
        <v>2.0672566371681417E-7</v>
      </c>
      <c r="I18" s="208" t="s">
        <v>203</v>
      </c>
      <c r="J18" s="206">
        <f t="shared" si="2"/>
        <v>1.0595589263716815E-4</v>
      </c>
    </row>
    <row r="19" spans="1:10" ht="17.100000000000001" customHeight="1" x14ac:dyDescent="0.2">
      <c r="A19" s="60" t="s">
        <v>7</v>
      </c>
      <c r="B19" s="58" t="s">
        <v>39</v>
      </c>
      <c r="C19" s="201">
        <f>'HAPs - Gas Boilers'!G15</f>
        <v>1.1843657817109144E-5</v>
      </c>
      <c r="D19" s="72">
        <f>'HAPs - Diesel Heaters'!E16</f>
        <v>1.0512000000000001E-4</v>
      </c>
      <c r="E19" s="72">
        <f>'HAPs - Gas Boilers'!I15</f>
        <v>7.9302764011799424E-6</v>
      </c>
      <c r="F19" s="208">
        <f>'HAPs - Gas Boilers'!E15</f>
        <v>1.8949852507374631E-5</v>
      </c>
      <c r="G19" s="208">
        <f t="shared" si="0"/>
        <v>1.8949852507374631E-5</v>
      </c>
      <c r="H19" s="208">
        <f t="shared" si="1"/>
        <v>1.8949852507374631E-5</v>
      </c>
      <c r="I19" s="208" t="s">
        <v>203</v>
      </c>
      <c r="J19" s="206">
        <f t="shared" si="2"/>
        <v>1.8174349174041298E-4</v>
      </c>
    </row>
    <row r="20" spans="1:10" ht="17.100000000000001" customHeight="1" x14ac:dyDescent="0.2">
      <c r="A20" s="60" t="s">
        <v>7</v>
      </c>
      <c r="B20" s="58" t="s">
        <v>40</v>
      </c>
      <c r="C20" s="201">
        <f>'HAPs - Gas Boilers'!G16</f>
        <v>1.5073746312684366E-5</v>
      </c>
      <c r="D20" s="72">
        <f>'HAPs - Diesel Heaters'!E17</f>
        <v>1.0512000000000001E-4</v>
      </c>
      <c r="E20" s="72">
        <f>'HAPs - Gas Boilers'!I16</f>
        <v>1.0093079056047197E-5</v>
      </c>
      <c r="F20" s="208">
        <f>'HAPs - Gas Boilers'!E16</f>
        <v>2.4117994100294985E-5</v>
      </c>
      <c r="G20" s="208">
        <f t="shared" si="0"/>
        <v>2.4117994100294985E-5</v>
      </c>
      <c r="H20" s="208">
        <f t="shared" si="1"/>
        <v>2.4117994100294985E-5</v>
      </c>
      <c r="I20" s="208" t="s">
        <v>203</v>
      </c>
      <c r="J20" s="206">
        <f t="shared" si="2"/>
        <v>2.0264080766961654E-4</v>
      </c>
    </row>
    <row r="21" spans="1:10" ht="17.100000000000001" customHeight="1" x14ac:dyDescent="0.2">
      <c r="A21" s="60" t="s">
        <v>7</v>
      </c>
      <c r="B21" s="58" t="s">
        <v>178</v>
      </c>
      <c r="C21" s="201">
        <f>'HAPs - Gas Boilers'!G17</f>
        <v>9.0442477876106182E-7</v>
      </c>
      <c r="D21" s="202" t="s">
        <v>203</v>
      </c>
      <c r="E21" s="72">
        <f>'HAPs - Gas Boilers'!I17</f>
        <v>6.0558474336283186E-7</v>
      </c>
      <c r="F21" s="208">
        <f>'HAPs - Gas Boilers'!E17</f>
        <v>1.4470796460176989E-6</v>
      </c>
      <c r="G21" s="208">
        <f t="shared" si="0"/>
        <v>1.4470796460176989E-6</v>
      </c>
      <c r="H21" s="208">
        <f t="shared" si="1"/>
        <v>1.4470796460176989E-6</v>
      </c>
      <c r="I21" s="208" t="s">
        <v>203</v>
      </c>
      <c r="J21" s="206">
        <f t="shared" si="2"/>
        <v>5.8512484601769909E-6</v>
      </c>
    </row>
    <row r="22" spans="1:10" ht="17.100000000000001" customHeight="1" x14ac:dyDescent="0.2">
      <c r="A22" s="60" t="s">
        <v>7</v>
      </c>
      <c r="B22" s="58" t="s">
        <v>41</v>
      </c>
      <c r="C22" s="201">
        <f>'HAPs - Gas Boilers'!G18</f>
        <v>5.383480825958702E-6</v>
      </c>
      <c r="D22" s="72">
        <f>'HAPs - Diesel Heaters'!E18</f>
        <v>3.1536000000000004E-4</v>
      </c>
      <c r="E22" s="72">
        <f>'HAPs - Gas Boilers'!I18</f>
        <v>3.6046710914454278E-6</v>
      </c>
      <c r="F22" s="208">
        <f>'HAPs - Gas Boilers'!E18</f>
        <v>8.6135693215339221E-6</v>
      </c>
      <c r="G22" s="208">
        <f t="shared" si="0"/>
        <v>8.6135693215339221E-6</v>
      </c>
      <c r="H22" s="208">
        <f t="shared" si="1"/>
        <v>8.6135693215339221E-6</v>
      </c>
      <c r="I22" s="208" t="s">
        <v>203</v>
      </c>
      <c r="J22" s="206">
        <f t="shared" si="2"/>
        <v>3.5018885988200591E-4</v>
      </c>
    </row>
    <row r="23" spans="1:10" ht="17.100000000000001" customHeight="1" x14ac:dyDescent="0.2">
      <c r="A23" s="60" t="s">
        <v>7</v>
      </c>
      <c r="B23" s="58" t="s">
        <v>42</v>
      </c>
      <c r="C23" s="201">
        <f>'HAPs - Gas Boilers'!G19</f>
        <v>4.0914454277286136E-6</v>
      </c>
      <c r="D23" s="72">
        <f>'HAPs - Diesel Heaters'!E19</f>
        <v>2.1024000000000002E-4</v>
      </c>
      <c r="E23" s="72">
        <f>'HAPs - Gas Boilers'!I19</f>
        <v>2.7395500294985254E-6</v>
      </c>
      <c r="F23" s="208">
        <f>'HAPs - Gas Boilers'!E19</f>
        <v>6.546312684365782E-6</v>
      </c>
      <c r="G23" s="208">
        <f t="shared" si="0"/>
        <v>6.546312684365782E-6</v>
      </c>
      <c r="H23" s="208">
        <f t="shared" si="1"/>
        <v>6.546312684365782E-6</v>
      </c>
      <c r="I23" s="208" t="s">
        <v>203</v>
      </c>
      <c r="J23" s="206">
        <f t="shared" si="2"/>
        <v>2.3670993351032447E-4</v>
      </c>
    </row>
    <row r="24" spans="1:10" ht="17.100000000000001" customHeight="1" x14ac:dyDescent="0.2">
      <c r="A24" s="60" t="s">
        <v>7</v>
      </c>
      <c r="B24" s="58" t="s">
        <v>43</v>
      </c>
      <c r="C24" s="201">
        <f>'HAPs - Gas Boilers'!G20</f>
        <v>2.7994100294985247E-6</v>
      </c>
      <c r="D24" s="72">
        <f>'HAPs - Diesel Heaters'!E20</f>
        <v>1.0512000000000001E-4</v>
      </c>
      <c r="E24" s="72">
        <f>'HAPs - Gas Boilers'!I20</f>
        <v>1.8744289675516223E-6</v>
      </c>
      <c r="F24" s="208">
        <f>'HAPs - Gas Boilers'!E20</f>
        <v>4.4790560471976394E-6</v>
      </c>
      <c r="G24" s="208">
        <f t="shared" si="0"/>
        <v>4.4790560471976394E-6</v>
      </c>
      <c r="H24" s="208">
        <f t="shared" si="1"/>
        <v>4.4790560471976394E-6</v>
      </c>
      <c r="I24" s="208" t="s">
        <v>203</v>
      </c>
      <c r="J24" s="206">
        <f t="shared" si="2"/>
        <v>1.2323100713864307E-4</v>
      </c>
    </row>
    <row r="25" spans="1:10" ht="17.100000000000001" customHeight="1" x14ac:dyDescent="0.2">
      <c r="A25" s="60" t="s">
        <v>7</v>
      </c>
      <c r="B25" s="58" t="s">
        <v>44</v>
      </c>
      <c r="C25" s="201">
        <f>'HAPs - Gas Boilers'!G21</f>
        <v>2.2610619469026546E-5</v>
      </c>
      <c r="D25" s="72">
        <f>'HAPs - Diesel Heaters'!E21</f>
        <v>1.0512000000000001E-4</v>
      </c>
      <c r="E25" s="72">
        <f>'HAPs - Gas Boilers'!I21</f>
        <v>1.5139618584070795E-5</v>
      </c>
      <c r="F25" s="208">
        <f>'HAPs - Gas Boilers'!E21</f>
        <v>3.6176991150442475E-5</v>
      </c>
      <c r="G25" s="208">
        <f t="shared" si="0"/>
        <v>3.6176991150442475E-5</v>
      </c>
      <c r="H25" s="208">
        <f t="shared" si="1"/>
        <v>3.6176991150442475E-5</v>
      </c>
      <c r="I25" s="208" t="s">
        <v>203</v>
      </c>
      <c r="J25" s="206">
        <f t="shared" si="2"/>
        <v>2.5140121150442476E-4</v>
      </c>
    </row>
    <row r="26" spans="1:10" ht="17.100000000000001" customHeight="1" thickBot="1" x14ac:dyDescent="0.25">
      <c r="A26" s="15" t="s">
        <v>7</v>
      </c>
      <c r="B26" s="63" t="s">
        <v>144</v>
      </c>
      <c r="C26" s="232">
        <f>'HAPs - Gas Boilers'!G22</f>
        <v>2.5840707964601767E-7</v>
      </c>
      <c r="D26" s="233">
        <f>'HAPs - Diesel Heaters'!E22</f>
        <v>5.2560000000000009E-4</v>
      </c>
      <c r="E26" s="233">
        <f>'HAPs - Gas Boilers'!I22</f>
        <v>1.7302421238938055E-7</v>
      </c>
      <c r="F26" s="234">
        <f>'HAPs - Gas Boilers'!E22</f>
        <v>4.1345132743362834E-7</v>
      </c>
      <c r="G26" s="234">
        <f t="shared" si="0"/>
        <v>4.1345132743362834E-7</v>
      </c>
      <c r="H26" s="234">
        <f t="shared" si="1"/>
        <v>4.1345132743362834E-7</v>
      </c>
      <c r="I26" s="234" t="s">
        <v>203</v>
      </c>
      <c r="J26" s="235">
        <f>SUM(C26:I26)</f>
        <v>5.2727178527433639E-4</v>
      </c>
    </row>
    <row r="27" spans="1:10" ht="17.100000000000001" customHeight="1" thickBot="1" x14ac:dyDescent="0.25">
      <c r="B27" s="45" t="s">
        <v>23</v>
      </c>
      <c r="C27" s="210">
        <f>SUM(C6:C26)</f>
        <v>2.0332957020648967E-2</v>
      </c>
      <c r="D27" s="71">
        <f>SUM(D6:D26)</f>
        <v>1.3035289226277376E-2</v>
      </c>
      <c r="E27" s="71">
        <f>SUM(E6:E26)</f>
        <v>1.3614541361886136E-2</v>
      </c>
      <c r="F27" s="209">
        <f>SUM(F6:F26)</f>
        <v>3.2532731233038355E-2</v>
      </c>
      <c r="G27" s="209">
        <f>F27</f>
        <v>3.2532731233038355E-2</v>
      </c>
      <c r="H27" s="209">
        <f>G27</f>
        <v>3.2532731233038355E-2</v>
      </c>
      <c r="I27" s="209">
        <f>SUM(I6:I26)</f>
        <v>6.4773135067802744E-4</v>
      </c>
      <c r="J27" s="205">
        <f>SUM(J6:J26)</f>
        <v>0.14522871265860557</v>
      </c>
    </row>
    <row r="28" spans="1:10" x14ac:dyDescent="0.2">
      <c r="A28" s="64"/>
      <c r="B28" s="65"/>
      <c r="C28" s="207"/>
      <c r="D28" s="203"/>
      <c r="E28" s="203"/>
      <c r="F28" s="203"/>
      <c r="G28" s="203"/>
      <c r="H28" s="203"/>
      <c r="I28" s="203"/>
      <c r="J28" s="51"/>
    </row>
    <row r="29" spans="1:10" x14ac:dyDescent="0.2">
      <c r="A29" s="64"/>
      <c r="B29" s="65"/>
      <c r="C29" s="66"/>
      <c r="J29" s="51"/>
    </row>
  </sheetData>
  <mergeCells count="5">
    <mergeCell ref="A4:A5"/>
    <mergeCell ref="B4:B5"/>
    <mergeCell ref="A1:J1"/>
    <mergeCell ref="A2:J2"/>
    <mergeCell ref="C4:J4"/>
  </mergeCells>
  <printOptions horizontalCentered="1"/>
  <pageMargins left="0.5" right="0.5" top="0.5" bottom="0.5" header="0.3" footer="0.3"/>
  <pageSetup scale="60" orientation="landscape" r:id="rId1"/>
  <headerFooter scaleWithDoc="0">
    <oddFooter>&amp;L&amp;"Arial,Regular"&amp;9Hilcorp Alaska, LLC
Grayling Platform
Title V Renewal Application&amp;C&amp;"Arial,Regular"&amp;9Page D-&amp;P&amp;R&amp;"Arial,Regular"&amp;9December 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AD161-51C0-40FE-9BAF-A418EB41CA7E}">
  <dimension ref="A1:L45"/>
  <sheetViews>
    <sheetView view="pageBreakPreview" zoomScale="110" zoomScaleNormal="100" zoomScaleSheetLayoutView="110" workbookViewId="0">
      <selection activeCell="H17" sqref="H17:H18"/>
    </sheetView>
  </sheetViews>
  <sheetFormatPr defaultColWidth="9.140625" defaultRowHeight="12.75" x14ac:dyDescent="0.25"/>
  <cols>
    <col min="1" max="1" width="6.7109375" style="150" customWidth="1"/>
    <col min="2" max="3" width="30.7109375" style="150" customWidth="1"/>
    <col min="4" max="7" width="10.7109375" style="150" customWidth="1"/>
    <col min="8" max="8" width="11.7109375" style="150" customWidth="1"/>
    <col min="9" max="9" width="8.42578125" style="150" customWidth="1"/>
    <col min="10" max="10" width="10.5703125" style="150" customWidth="1"/>
    <col min="11" max="11" width="8.42578125" style="150" customWidth="1"/>
    <col min="12" max="12" width="10.5703125" style="150" customWidth="1"/>
    <col min="13" max="16384" width="9.140625" style="150"/>
  </cols>
  <sheetData>
    <row r="1" spans="1:12" ht="17.100000000000001" customHeight="1" x14ac:dyDescent="0.25">
      <c r="A1" s="473" t="s">
        <v>210</v>
      </c>
      <c r="B1" s="473"/>
      <c r="C1" s="473"/>
      <c r="D1" s="473"/>
      <c r="E1" s="473"/>
      <c r="F1" s="473"/>
      <c r="G1" s="473"/>
      <c r="H1" s="473"/>
      <c r="I1" s="473"/>
      <c r="J1" s="473"/>
      <c r="K1" s="473"/>
      <c r="L1" s="473"/>
    </row>
    <row r="2" spans="1:12" ht="17.100000000000001" customHeight="1" x14ac:dyDescent="0.25">
      <c r="A2" s="473" t="s">
        <v>100</v>
      </c>
      <c r="B2" s="473"/>
      <c r="C2" s="473"/>
      <c r="D2" s="473"/>
      <c r="E2" s="473"/>
      <c r="F2" s="473"/>
      <c r="G2" s="473"/>
      <c r="H2" s="473"/>
      <c r="I2" s="473"/>
      <c r="J2" s="473"/>
      <c r="K2" s="473"/>
      <c r="L2" s="473"/>
    </row>
    <row r="3" spans="1:12" ht="17.100000000000001" customHeight="1" thickBot="1" x14ac:dyDescent="0.3"/>
    <row r="4" spans="1:12" s="31" customFormat="1" ht="30" customHeight="1" thickBot="1" x14ac:dyDescent="0.3">
      <c r="A4" s="30" t="s">
        <v>0</v>
      </c>
      <c r="B4" s="90" t="s">
        <v>205</v>
      </c>
      <c r="C4" s="90" t="s">
        <v>211</v>
      </c>
      <c r="D4" s="90" t="s">
        <v>1</v>
      </c>
      <c r="E4" s="533" t="s">
        <v>2</v>
      </c>
      <c r="F4" s="533"/>
      <c r="G4" s="525" t="s">
        <v>158</v>
      </c>
      <c r="H4" s="525"/>
      <c r="I4" s="525" t="s">
        <v>228</v>
      </c>
      <c r="J4" s="525"/>
      <c r="K4" s="525" t="s">
        <v>163</v>
      </c>
      <c r="L4" s="526"/>
    </row>
    <row r="5" spans="1:12" ht="17.100000000000001" customHeight="1" thickTop="1" x14ac:dyDescent="0.25">
      <c r="A5" s="151">
        <v>1</v>
      </c>
      <c r="B5" s="122" t="s">
        <v>62</v>
      </c>
      <c r="C5" s="122" t="s">
        <v>63</v>
      </c>
      <c r="D5" s="122" t="s">
        <v>118</v>
      </c>
      <c r="E5" s="188">
        <v>4500</v>
      </c>
      <c r="F5" s="14" t="s">
        <v>64</v>
      </c>
      <c r="G5" s="188">
        <v>8760</v>
      </c>
      <c r="H5" s="14" t="s">
        <v>5</v>
      </c>
      <c r="I5" s="188">
        <v>8760</v>
      </c>
      <c r="J5" s="14" t="s">
        <v>5</v>
      </c>
      <c r="K5" s="189">
        <v>2985</v>
      </c>
      <c r="L5" s="27" t="s">
        <v>5</v>
      </c>
    </row>
    <row r="6" spans="1:12" ht="17.100000000000001" customHeight="1" x14ac:dyDescent="0.25">
      <c r="A6" s="123">
        <v>3</v>
      </c>
      <c r="B6" s="125" t="s">
        <v>62</v>
      </c>
      <c r="C6" s="125" t="s">
        <v>65</v>
      </c>
      <c r="D6" s="122" t="s">
        <v>118</v>
      </c>
      <c r="E6" s="8">
        <v>4500</v>
      </c>
      <c r="F6" s="9" t="s">
        <v>64</v>
      </c>
      <c r="G6" s="8">
        <v>8760</v>
      </c>
      <c r="H6" s="9" t="s">
        <v>5</v>
      </c>
      <c r="I6" s="8">
        <v>8760</v>
      </c>
      <c r="J6" s="9" t="s">
        <v>5</v>
      </c>
      <c r="K6" s="190">
        <v>2369</v>
      </c>
      <c r="L6" s="26" t="s">
        <v>5</v>
      </c>
    </row>
    <row r="7" spans="1:12" ht="17.100000000000001" customHeight="1" x14ac:dyDescent="0.25">
      <c r="A7" s="123" t="s">
        <v>66</v>
      </c>
      <c r="B7" s="125" t="s">
        <v>62</v>
      </c>
      <c r="C7" s="125" t="s">
        <v>67</v>
      </c>
      <c r="D7" s="122" t="s">
        <v>118</v>
      </c>
      <c r="E7" s="8">
        <v>4500</v>
      </c>
      <c r="F7" s="9" t="s">
        <v>64</v>
      </c>
      <c r="G7" s="8">
        <v>8760</v>
      </c>
      <c r="H7" s="9" t="s">
        <v>5</v>
      </c>
      <c r="I7" s="8">
        <v>8760</v>
      </c>
      <c r="J7" s="9" t="s">
        <v>5</v>
      </c>
      <c r="K7" s="190">
        <v>8562</v>
      </c>
      <c r="L7" s="26" t="s">
        <v>5</v>
      </c>
    </row>
    <row r="8" spans="1:12" ht="17.100000000000001" customHeight="1" x14ac:dyDescent="0.25">
      <c r="A8" s="123">
        <v>14</v>
      </c>
      <c r="B8" s="125" t="s">
        <v>68</v>
      </c>
      <c r="C8" s="125" t="s">
        <v>69</v>
      </c>
      <c r="D8" s="122" t="s">
        <v>118</v>
      </c>
      <c r="E8" s="8">
        <v>1100</v>
      </c>
      <c r="F8" s="9" t="s">
        <v>64</v>
      </c>
      <c r="G8" s="8">
        <v>8760</v>
      </c>
      <c r="H8" s="9" t="s">
        <v>5</v>
      </c>
      <c r="I8" s="8">
        <v>8760</v>
      </c>
      <c r="J8" s="9" t="s">
        <v>5</v>
      </c>
      <c r="K8" s="191">
        <v>0</v>
      </c>
      <c r="L8" s="26" t="s">
        <v>5</v>
      </c>
    </row>
    <row r="9" spans="1:12" ht="17.100000000000001" customHeight="1" x14ac:dyDescent="0.25">
      <c r="A9" s="123">
        <v>15</v>
      </c>
      <c r="B9" s="125" t="s">
        <v>68</v>
      </c>
      <c r="C9" s="125" t="s">
        <v>70</v>
      </c>
      <c r="D9" s="122" t="s">
        <v>118</v>
      </c>
      <c r="E9" s="37">
        <v>800</v>
      </c>
      <c r="F9" s="9" t="s">
        <v>6</v>
      </c>
      <c r="G9" s="8">
        <v>8760</v>
      </c>
      <c r="H9" s="9" t="s">
        <v>5</v>
      </c>
      <c r="I9" s="8">
        <v>8760</v>
      </c>
      <c r="J9" s="9" t="s">
        <v>5</v>
      </c>
      <c r="K9" s="190">
        <v>1599</v>
      </c>
      <c r="L9" s="26" t="s">
        <v>5</v>
      </c>
    </row>
    <row r="10" spans="1:12" ht="17.100000000000001" customHeight="1" x14ac:dyDescent="0.25">
      <c r="A10" s="123">
        <v>16</v>
      </c>
      <c r="B10" s="125" t="s">
        <v>68</v>
      </c>
      <c r="C10" s="125" t="s">
        <v>71</v>
      </c>
      <c r="D10" s="122" t="s">
        <v>118</v>
      </c>
      <c r="E10" s="37">
        <v>750</v>
      </c>
      <c r="F10" s="9" t="s">
        <v>6</v>
      </c>
      <c r="G10" s="8">
        <v>8760</v>
      </c>
      <c r="H10" s="9" t="s">
        <v>5</v>
      </c>
      <c r="I10" s="8">
        <v>8760</v>
      </c>
      <c r="J10" s="9" t="s">
        <v>5</v>
      </c>
      <c r="K10" s="190">
        <v>1868</v>
      </c>
      <c r="L10" s="26" t="s">
        <v>5</v>
      </c>
    </row>
    <row r="11" spans="1:12" ht="17.100000000000001" customHeight="1" x14ac:dyDescent="0.25">
      <c r="A11" s="123">
        <v>17</v>
      </c>
      <c r="B11" s="125" t="s">
        <v>68</v>
      </c>
      <c r="C11" s="125" t="s">
        <v>72</v>
      </c>
      <c r="D11" s="122" t="s">
        <v>118</v>
      </c>
      <c r="E11" s="37">
        <v>800</v>
      </c>
      <c r="F11" s="9" t="s">
        <v>6</v>
      </c>
      <c r="G11" s="8">
        <v>8760</v>
      </c>
      <c r="H11" s="9" t="s">
        <v>5</v>
      </c>
      <c r="I11" s="8">
        <v>8760</v>
      </c>
      <c r="J11" s="9" t="s">
        <v>5</v>
      </c>
      <c r="K11" s="190">
        <v>1384</v>
      </c>
      <c r="L11" s="26" t="s">
        <v>5</v>
      </c>
    </row>
    <row r="12" spans="1:12" ht="17.100000000000001" customHeight="1" x14ac:dyDescent="0.25">
      <c r="A12" s="123">
        <v>18</v>
      </c>
      <c r="B12" s="125" t="s">
        <v>68</v>
      </c>
      <c r="C12" s="125" t="s">
        <v>73</v>
      </c>
      <c r="D12" s="122" t="s">
        <v>118</v>
      </c>
      <c r="E12" s="37">
        <v>800</v>
      </c>
      <c r="F12" s="9" t="s">
        <v>6</v>
      </c>
      <c r="G12" s="8">
        <v>8760</v>
      </c>
      <c r="H12" s="9" t="s">
        <v>5</v>
      </c>
      <c r="I12" s="8">
        <v>8760</v>
      </c>
      <c r="J12" s="9" t="s">
        <v>5</v>
      </c>
      <c r="K12" s="190">
        <v>1380</v>
      </c>
      <c r="L12" s="26" t="s">
        <v>5</v>
      </c>
    </row>
    <row r="13" spans="1:12" ht="17.100000000000001" customHeight="1" x14ac:dyDescent="0.25">
      <c r="A13" s="123">
        <v>24</v>
      </c>
      <c r="B13" s="125" t="s">
        <v>81</v>
      </c>
      <c r="C13" s="125" t="s">
        <v>82</v>
      </c>
      <c r="D13" s="125" t="s">
        <v>10</v>
      </c>
      <c r="E13" s="37">
        <v>340</v>
      </c>
      <c r="F13" s="9" t="s">
        <v>64</v>
      </c>
      <c r="G13" s="8">
        <v>3000</v>
      </c>
      <c r="H13" s="9" t="s">
        <v>170</v>
      </c>
      <c r="I13" s="8">
        <v>8760</v>
      </c>
      <c r="J13" s="9" t="s">
        <v>5</v>
      </c>
      <c r="K13" s="191">
        <v>154</v>
      </c>
      <c r="L13" s="26" t="s">
        <v>5</v>
      </c>
    </row>
    <row r="14" spans="1:12" ht="17.100000000000001" customHeight="1" x14ac:dyDescent="0.25">
      <c r="A14" s="123">
        <v>25</v>
      </c>
      <c r="B14" s="125" t="s">
        <v>83</v>
      </c>
      <c r="C14" s="125" t="s">
        <v>84</v>
      </c>
      <c r="D14" s="125" t="s">
        <v>10</v>
      </c>
      <c r="E14" s="37">
        <v>250</v>
      </c>
      <c r="F14" s="9" t="s">
        <v>64</v>
      </c>
      <c r="G14" s="8">
        <v>3000</v>
      </c>
      <c r="H14" s="9" t="s">
        <v>170</v>
      </c>
      <c r="I14" s="8">
        <v>8760</v>
      </c>
      <c r="J14" s="9" t="s">
        <v>5</v>
      </c>
      <c r="K14" s="191">
        <v>510</v>
      </c>
      <c r="L14" s="26" t="s">
        <v>5</v>
      </c>
    </row>
    <row r="15" spans="1:12" ht="17.100000000000001" customHeight="1" x14ac:dyDescent="0.25">
      <c r="A15" s="123" t="s">
        <v>85</v>
      </c>
      <c r="B15" s="125" t="s">
        <v>86</v>
      </c>
      <c r="C15" s="125" t="s">
        <v>87</v>
      </c>
      <c r="D15" s="125" t="s">
        <v>10</v>
      </c>
      <c r="E15" s="37">
        <v>685</v>
      </c>
      <c r="F15" s="9" t="s">
        <v>64</v>
      </c>
      <c r="G15" s="8">
        <v>500</v>
      </c>
      <c r="H15" s="9" t="s">
        <v>161</v>
      </c>
      <c r="I15" s="8">
        <v>8760</v>
      </c>
      <c r="J15" s="9" t="s">
        <v>5</v>
      </c>
      <c r="K15" s="191">
        <v>1</v>
      </c>
      <c r="L15" s="26" t="s">
        <v>5</v>
      </c>
    </row>
    <row r="16" spans="1:12" ht="17.100000000000001" customHeight="1" x14ac:dyDescent="0.25">
      <c r="A16" s="123">
        <v>27</v>
      </c>
      <c r="B16" s="125" t="s">
        <v>88</v>
      </c>
      <c r="C16" s="125" t="s">
        <v>89</v>
      </c>
      <c r="D16" s="125" t="s">
        <v>10</v>
      </c>
      <c r="E16" s="37">
        <v>85</v>
      </c>
      <c r="F16" s="9" t="s">
        <v>64</v>
      </c>
      <c r="G16" s="8">
        <v>3000</v>
      </c>
      <c r="H16" s="9" t="s">
        <v>170</v>
      </c>
      <c r="I16" s="8">
        <v>8760</v>
      </c>
      <c r="J16" s="9" t="s">
        <v>5</v>
      </c>
      <c r="K16" s="191">
        <v>19.5</v>
      </c>
      <c r="L16" s="26" t="s">
        <v>5</v>
      </c>
    </row>
    <row r="17" spans="1:12" ht="37.5" customHeight="1" x14ac:dyDescent="0.25">
      <c r="A17" s="123">
        <v>28</v>
      </c>
      <c r="B17" s="125" t="s">
        <v>90</v>
      </c>
      <c r="C17" s="125" t="s">
        <v>268</v>
      </c>
      <c r="D17" s="122" t="s">
        <v>118</v>
      </c>
      <c r="E17" s="447">
        <f>120/1000</f>
        <v>0.12</v>
      </c>
      <c r="F17" s="448" t="s">
        <v>355</v>
      </c>
      <c r="G17" s="540">
        <v>193.762</v>
      </c>
      <c r="H17" s="541" t="s">
        <v>352</v>
      </c>
      <c r="I17" s="542">
        <v>14.12</v>
      </c>
      <c r="J17" s="541" t="s">
        <v>265</v>
      </c>
      <c r="K17" s="538">
        <v>49829</v>
      </c>
      <c r="L17" s="539" t="s">
        <v>267</v>
      </c>
    </row>
    <row r="18" spans="1:12" ht="38.25" customHeight="1" x14ac:dyDescent="0.25">
      <c r="A18" s="123">
        <v>29</v>
      </c>
      <c r="B18" s="125" t="s">
        <v>91</v>
      </c>
      <c r="C18" s="125" t="s">
        <v>268</v>
      </c>
      <c r="D18" s="122" t="s">
        <v>118</v>
      </c>
      <c r="E18" s="408">
        <v>14</v>
      </c>
      <c r="F18" s="366" t="s">
        <v>269</v>
      </c>
      <c r="G18" s="540"/>
      <c r="H18" s="541"/>
      <c r="I18" s="542"/>
      <c r="J18" s="541"/>
      <c r="K18" s="538"/>
      <c r="L18" s="539"/>
    </row>
    <row r="19" spans="1:12" ht="17.100000000000001" customHeight="1" x14ac:dyDescent="0.25">
      <c r="A19" s="527">
        <v>31</v>
      </c>
      <c r="B19" s="529" t="s">
        <v>92</v>
      </c>
      <c r="C19" s="529" t="s">
        <v>93</v>
      </c>
      <c r="D19" s="531" t="s">
        <v>118</v>
      </c>
      <c r="E19" s="544">
        <v>5.2</v>
      </c>
      <c r="F19" s="536" t="s">
        <v>94</v>
      </c>
      <c r="G19" s="8">
        <f>8760-G20</f>
        <v>8380</v>
      </c>
      <c r="H19" s="9" t="s">
        <v>5</v>
      </c>
      <c r="I19" s="534">
        <v>8760</v>
      </c>
      <c r="J19" s="536" t="s">
        <v>5</v>
      </c>
      <c r="K19" s="192">
        <v>7324.4</v>
      </c>
      <c r="L19" s="26" t="s">
        <v>5</v>
      </c>
    </row>
    <row r="20" spans="1:12" ht="17.100000000000001" customHeight="1" thickBot="1" x14ac:dyDescent="0.3">
      <c r="A20" s="528"/>
      <c r="B20" s="530"/>
      <c r="C20" s="530"/>
      <c r="D20" s="532"/>
      <c r="E20" s="545"/>
      <c r="F20" s="537"/>
      <c r="G20" s="193">
        <v>380</v>
      </c>
      <c r="H20" s="91" t="s">
        <v>353</v>
      </c>
      <c r="I20" s="535"/>
      <c r="J20" s="537"/>
      <c r="K20" s="194">
        <f>7357-K19</f>
        <v>32.600000000000364</v>
      </c>
      <c r="L20" s="83" t="s">
        <v>5</v>
      </c>
    </row>
    <row r="21" spans="1:12" ht="17.100000000000001" customHeight="1" x14ac:dyDescent="0.25"/>
    <row r="22" spans="1:12" ht="17.100000000000001" customHeight="1" x14ac:dyDescent="0.25">
      <c r="A22" s="473" t="s">
        <v>212</v>
      </c>
      <c r="B22" s="473"/>
      <c r="C22" s="473"/>
      <c r="D22" s="473"/>
      <c r="E22" s="473"/>
      <c r="F22" s="473"/>
      <c r="G22" s="473"/>
      <c r="H22" s="473"/>
    </row>
    <row r="23" spans="1:12" ht="17.100000000000001" customHeight="1" x14ac:dyDescent="0.25">
      <c r="A23" s="473" t="str">
        <f>A2</f>
        <v>Hilcorp Alaska, LLC - Grayling Platform</v>
      </c>
      <c r="B23" s="473"/>
      <c r="C23" s="473"/>
      <c r="D23" s="473"/>
      <c r="E23" s="473"/>
      <c r="F23" s="473"/>
      <c r="G23" s="473"/>
      <c r="H23" s="473"/>
    </row>
    <row r="24" spans="1:12" ht="17.100000000000001" customHeight="1" thickBot="1" x14ac:dyDescent="0.3"/>
    <row r="25" spans="1:12" ht="30" customHeight="1" thickBot="1" x14ac:dyDescent="0.3">
      <c r="A25" s="30" t="s">
        <v>0</v>
      </c>
      <c r="B25" s="90" t="s">
        <v>362</v>
      </c>
      <c r="C25" s="90" t="s">
        <v>211</v>
      </c>
      <c r="D25" s="90" t="s">
        <v>1</v>
      </c>
      <c r="E25" s="533" t="s">
        <v>2</v>
      </c>
      <c r="F25" s="533"/>
      <c r="G25" s="525" t="s">
        <v>228</v>
      </c>
      <c r="H25" s="526"/>
    </row>
    <row r="26" spans="1:12" ht="17.100000000000001" customHeight="1" thickTop="1" x14ac:dyDescent="0.25">
      <c r="A26" s="195" t="s">
        <v>7</v>
      </c>
      <c r="B26" s="196" t="s">
        <v>95</v>
      </c>
      <c r="C26" s="196" t="s">
        <v>96</v>
      </c>
      <c r="D26" s="122" t="s">
        <v>118</v>
      </c>
      <c r="E26" s="197">
        <v>2.5</v>
      </c>
      <c r="F26" s="98" t="s">
        <v>4</v>
      </c>
      <c r="G26" s="103">
        <v>8760</v>
      </c>
      <c r="H26" s="198" t="s">
        <v>5</v>
      </c>
    </row>
    <row r="27" spans="1:12" ht="24.95" customHeight="1" x14ac:dyDescent="0.25">
      <c r="A27" s="123" t="s">
        <v>7</v>
      </c>
      <c r="B27" s="125" t="s">
        <v>97</v>
      </c>
      <c r="C27" s="73" t="s">
        <v>187</v>
      </c>
      <c r="D27" s="125" t="s">
        <v>10</v>
      </c>
      <c r="E27" s="37">
        <v>8</v>
      </c>
      <c r="F27" s="9" t="s">
        <v>4</v>
      </c>
      <c r="G27" s="8">
        <v>8760</v>
      </c>
      <c r="H27" s="26" t="s">
        <v>5</v>
      </c>
    </row>
    <row r="28" spans="1:12" ht="17.100000000000001" customHeight="1" x14ac:dyDescent="0.25">
      <c r="A28" s="123" t="s">
        <v>7</v>
      </c>
      <c r="B28" s="125" t="s">
        <v>98</v>
      </c>
      <c r="C28" s="125" t="s">
        <v>96</v>
      </c>
      <c r="D28" s="125" t="s">
        <v>118</v>
      </c>
      <c r="E28" s="37">
        <v>50</v>
      </c>
      <c r="F28" s="9" t="s">
        <v>99</v>
      </c>
      <c r="G28" s="8">
        <v>8760</v>
      </c>
      <c r="H28" s="26" t="s">
        <v>5</v>
      </c>
    </row>
    <row r="29" spans="1:12" ht="17.100000000000001" customHeight="1" x14ac:dyDescent="0.25">
      <c r="A29" s="123" t="s">
        <v>74</v>
      </c>
      <c r="B29" s="125" t="s">
        <v>75</v>
      </c>
      <c r="C29" s="125" t="s">
        <v>76</v>
      </c>
      <c r="D29" s="125" t="s">
        <v>118</v>
      </c>
      <c r="E29" s="37">
        <v>4</v>
      </c>
      <c r="F29" s="9" t="s">
        <v>4</v>
      </c>
      <c r="G29" s="8">
        <v>8760</v>
      </c>
      <c r="H29" s="26" t="s">
        <v>5</v>
      </c>
    </row>
    <row r="30" spans="1:12" ht="17.100000000000001" customHeight="1" x14ac:dyDescent="0.25">
      <c r="A30" s="123" t="s">
        <v>77</v>
      </c>
      <c r="B30" s="125" t="s">
        <v>75</v>
      </c>
      <c r="C30" s="125" t="s">
        <v>78</v>
      </c>
      <c r="D30" s="125" t="s">
        <v>118</v>
      </c>
      <c r="E30" s="37">
        <v>4</v>
      </c>
      <c r="F30" s="9" t="s">
        <v>4</v>
      </c>
      <c r="G30" s="8">
        <v>8760</v>
      </c>
      <c r="H30" s="26" t="s">
        <v>5</v>
      </c>
    </row>
    <row r="31" spans="1:12" ht="17.100000000000001" customHeight="1" x14ac:dyDescent="0.25">
      <c r="A31" s="369" t="s">
        <v>79</v>
      </c>
      <c r="B31" s="394" t="s">
        <v>75</v>
      </c>
      <c r="C31" s="394" t="s">
        <v>80</v>
      </c>
      <c r="D31" s="394" t="s">
        <v>118</v>
      </c>
      <c r="E31" s="370">
        <v>4</v>
      </c>
      <c r="F31" s="135" t="s">
        <v>4</v>
      </c>
      <c r="G31" s="80">
        <v>8760</v>
      </c>
      <c r="H31" s="79" t="s">
        <v>5</v>
      </c>
    </row>
    <row r="32" spans="1:12" ht="17.100000000000001" customHeight="1" thickBot="1" x14ac:dyDescent="0.3">
      <c r="A32" s="124" t="s">
        <v>7</v>
      </c>
      <c r="B32" s="126" t="s">
        <v>282</v>
      </c>
      <c r="C32" s="126" t="s">
        <v>363</v>
      </c>
      <c r="D32" s="126" t="s">
        <v>7</v>
      </c>
      <c r="E32" s="81">
        <f>106974/42</f>
        <v>2547</v>
      </c>
      <c r="F32" s="91" t="s">
        <v>271</v>
      </c>
      <c r="G32" s="81">
        <v>3</v>
      </c>
      <c r="H32" s="83" t="s">
        <v>272</v>
      </c>
    </row>
    <row r="33" spans="1:12" ht="17.100000000000001" customHeight="1" x14ac:dyDescent="0.25">
      <c r="A33" s="315" t="s">
        <v>25</v>
      </c>
      <c r="B33" s="312"/>
      <c r="C33" s="312"/>
      <c r="D33" s="312"/>
      <c r="E33" s="312"/>
      <c r="F33" s="312"/>
      <c r="G33" s="312"/>
      <c r="H33" s="312"/>
      <c r="I33" s="312"/>
      <c r="J33" s="312"/>
      <c r="K33" s="312"/>
      <c r="L33" s="312"/>
    </row>
    <row r="34" spans="1:12" ht="17.100000000000001" customHeight="1" x14ac:dyDescent="0.25">
      <c r="A34" s="313">
        <v>1</v>
      </c>
      <c r="B34" s="312" t="s">
        <v>234</v>
      </c>
      <c r="C34" s="312"/>
      <c r="D34" s="312"/>
      <c r="E34" s="312"/>
      <c r="F34" s="312"/>
      <c r="G34" s="312"/>
      <c r="H34" s="312"/>
      <c r="I34" s="312"/>
      <c r="J34" s="312"/>
      <c r="K34" s="312"/>
      <c r="L34" s="312"/>
    </row>
    <row r="35" spans="1:12" ht="17.100000000000001" customHeight="1" x14ac:dyDescent="0.25">
      <c r="A35" s="313">
        <v>2</v>
      </c>
      <c r="B35" s="312" t="s">
        <v>156</v>
      </c>
      <c r="C35" s="312"/>
      <c r="D35" s="312"/>
      <c r="E35" s="312"/>
      <c r="F35" s="312"/>
      <c r="G35" s="312"/>
      <c r="H35" s="312"/>
      <c r="I35" s="312"/>
      <c r="J35" s="312"/>
      <c r="K35" s="312"/>
      <c r="L35" s="312"/>
    </row>
    <row r="36" spans="1:12" ht="17.100000000000001" customHeight="1" x14ac:dyDescent="0.25">
      <c r="A36" s="313">
        <v>3</v>
      </c>
      <c r="B36" s="312" t="s">
        <v>166</v>
      </c>
      <c r="C36" s="314"/>
      <c r="D36" s="314"/>
      <c r="E36" s="314"/>
      <c r="F36" s="312"/>
      <c r="G36" s="312"/>
      <c r="H36" s="312"/>
      <c r="I36" s="312"/>
      <c r="J36" s="312"/>
      <c r="K36" s="312"/>
      <c r="L36" s="312"/>
    </row>
    <row r="37" spans="1:12" ht="17.100000000000001" customHeight="1" x14ac:dyDescent="0.25">
      <c r="A37" s="313">
        <v>4</v>
      </c>
      <c r="B37" s="312" t="s">
        <v>165</v>
      </c>
      <c r="C37" s="312"/>
      <c r="D37" s="312"/>
      <c r="E37" s="312"/>
      <c r="F37" s="312"/>
      <c r="G37" s="312"/>
      <c r="H37" s="312"/>
      <c r="I37" s="312"/>
      <c r="J37" s="312"/>
      <c r="K37" s="312"/>
      <c r="L37" s="312"/>
    </row>
    <row r="38" spans="1:12" ht="17.100000000000001" customHeight="1" x14ac:dyDescent="0.25">
      <c r="A38" s="313">
        <v>5</v>
      </c>
      <c r="B38" s="543" t="s">
        <v>162</v>
      </c>
      <c r="C38" s="543"/>
      <c r="D38" s="543"/>
      <c r="E38" s="543"/>
      <c r="F38" s="543"/>
      <c r="G38" s="543"/>
      <c r="H38" s="543"/>
      <c r="I38" s="543"/>
      <c r="J38" s="543"/>
      <c r="K38" s="543"/>
      <c r="L38" s="543"/>
    </row>
    <row r="39" spans="1:12" ht="17.100000000000001" customHeight="1" x14ac:dyDescent="0.25">
      <c r="A39" s="313"/>
      <c r="B39" s="543"/>
      <c r="C39" s="543"/>
      <c r="D39" s="543"/>
      <c r="E39" s="543"/>
      <c r="F39" s="543"/>
      <c r="G39" s="543"/>
      <c r="H39" s="543"/>
      <c r="I39" s="543"/>
      <c r="J39" s="543"/>
      <c r="K39" s="543"/>
      <c r="L39" s="543"/>
    </row>
    <row r="40" spans="1:12" ht="17.100000000000001" customHeight="1" x14ac:dyDescent="0.25">
      <c r="A40" s="313">
        <v>6</v>
      </c>
      <c r="B40" s="332" t="s">
        <v>354</v>
      </c>
      <c r="C40" s="392"/>
      <c r="D40" s="392"/>
      <c r="E40" s="392"/>
      <c r="F40" s="392"/>
      <c r="G40" s="392"/>
      <c r="H40" s="392"/>
      <c r="I40" s="392"/>
      <c r="J40" s="392"/>
      <c r="K40" s="392"/>
      <c r="L40" s="392"/>
    </row>
    <row r="41" spans="1:12" ht="17.100000000000001" customHeight="1" x14ac:dyDescent="0.25">
      <c r="A41" s="313">
        <v>7</v>
      </c>
      <c r="B41" s="312" t="s">
        <v>374</v>
      </c>
      <c r="C41" s="392"/>
      <c r="D41" s="392"/>
      <c r="E41" s="392"/>
      <c r="F41" s="392"/>
      <c r="G41" s="392"/>
      <c r="H41" s="392"/>
      <c r="I41" s="392"/>
      <c r="J41" s="392"/>
      <c r="K41" s="392"/>
      <c r="L41" s="392"/>
    </row>
    <row r="42" spans="1:12" ht="17.100000000000001" customHeight="1" x14ac:dyDescent="0.25">
      <c r="A42" s="313">
        <v>8</v>
      </c>
      <c r="B42" s="312" t="s">
        <v>364</v>
      </c>
      <c r="C42" s="312"/>
      <c r="D42" s="312"/>
      <c r="E42" s="312"/>
      <c r="F42" s="312"/>
      <c r="G42" s="312"/>
      <c r="H42" s="312"/>
      <c r="I42" s="312"/>
      <c r="J42" s="312"/>
      <c r="K42" s="312"/>
      <c r="L42" s="312"/>
    </row>
    <row r="43" spans="1:12" x14ac:dyDescent="0.25">
      <c r="A43" s="199"/>
    </row>
    <row r="44" spans="1:12" x14ac:dyDescent="0.25">
      <c r="A44" s="199"/>
      <c r="C44" s="173"/>
    </row>
    <row r="45" spans="1:12" x14ac:dyDescent="0.25">
      <c r="A45" s="199"/>
      <c r="C45" s="173"/>
    </row>
  </sheetData>
  <mergeCells count="25">
    <mergeCell ref="J17:J18"/>
    <mergeCell ref="B38:L39"/>
    <mergeCell ref="E25:F25"/>
    <mergeCell ref="G25:H25"/>
    <mergeCell ref="A22:H22"/>
    <mergeCell ref="A23:H23"/>
    <mergeCell ref="C19:C20"/>
    <mergeCell ref="E19:E20"/>
    <mergeCell ref="F19:F20"/>
    <mergeCell ref="K4:L4"/>
    <mergeCell ref="A1:L1"/>
    <mergeCell ref="A2:L2"/>
    <mergeCell ref="A19:A20"/>
    <mergeCell ref="B19:B20"/>
    <mergeCell ref="D19:D20"/>
    <mergeCell ref="E4:F4"/>
    <mergeCell ref="G4:H4"/>
    <mergeCell ref="I19:I20"/>
    <mergeCell ref="J19:J20"/>
    <mergeCell ref="K17:K18"/>
    <mergeCell ref="L17:L18"/>
    <mergeCell ref="I4:J4"/>
    <mergeCell ref="G17:G18"/>
    <mergeCell ref="H17:H18"/>
    <mergeCell ref="I17:I18"/>
  </mergeCells>
  <printOptions horizontalCentered="1"/>
  <pageMargins left="0.5" right="0.5" top="0.5" bottom="0.5" header="0.3" footer="0.3"/>
  <pageSetup scale="60" orientation="landscape" r:id="rId1"/>
  <headerFooter scaleWithDoc="0">
    <oddFooter>&amp;L&amp;"Arial,Regular"&amp;9Hilcorp Alaska, LLC
Grayling Platform
Title V Renewal Application&amp;C&amp;"Arial,Regular"&amp;9Page D-&amp;P&amp;R&amp;"Arial,Regular"&amp;9December 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86DF8-EFC5-405E-9A15-84205602D0A9}">
  <dimension ref="A1:U51"/>
  <sheetViews>
    <sheetView view="pageBreakPreview" zoomScaleNormal="100" zoomScaleSheetLayoutView="100" workbookViewId="0">
      <selection activeCell="F13" sqref="F13:F14"/>
    </sheetView>
  </sheetViews>
  <sheetFormatPr defaultColWidth="9.140625" defaultRowHeight="12.75" x14ac:dyDescent="0.2"/>
  <cols>
    <col min="1" max="1" width="6.7109375" style="1" customWidth="1"/>
    <col min="2" max="2" width="30.7109375" style="1" customWidth="1"/>
    <col min="3" max="5" width="10.7109375" style="1" customWidth="1"/>
    <col min="6" max="6" width="25.7109375" style="1" customWidth="1"/>
    <col min="7" max="8" width="10.7109375" style="1" customWidth="1"/>
    <col min="9" max="14" width="10.7109375" style="1" hidden="1" customWidth="1"/>
    <col min="15" max="20" width="10.7109375" style="1" customWidth="1"/>
    <col min="21" max="16384" width="9.140625" style="1"/>
  </cols>
  <sheetData>
    <row r="1" spans="1:21" ht="17.100000000000001" customHeight="1" x14ac:dyDescent="0.25">
      <c r="A1" s="517" t="s">
        <v>219</v>
      </c>
      <c r="B1" s="517"/>
      <c r="C1" s="517"/>
      <c r="D1" s="517"/>
      <c r="E1" s="517"/>
      <c r="F1" s="517"/>
      <c r="G1" s="517"/>
      <c r="H1" s="517"/>
      <c r="I1" s="517"/>
      <c r="J1" s="517"/>
      <c r="K1" s="517"/>
      <c r="L1" s="517"/>
      <c r="M1" s="517"/>
      <c r="N1" s="517"/>
      <c r="O1" s="517"/>
      <c r="P1" s="517"/>
      <c r="Q1" s="517"/>
      <c r="R1" s="517"/>
      <c r="S1" s="517"/>
      <c r="T1" s="517"/>
    </row>
    <row r="2" spans="1:21" ht="17.100000000000001" customHeight="1" x14ac:dyDescent="0.2">
      <c r="A2" s="517" t="str">
        <f>Inventory!A2</f>
        <v>Hilcorp Alaska, LLC - Grayling Platform</v>
      </c>
      <c r="B2" s="517"/>
      <c r="C2" s="517"/>
      <c r="D2" s="517"/>
      <c r="E2" s="517"/>
      <c r="F2" s="517"/>
      <c r="G2" s="517"/>
      <c r="H2" s="517"/>
      <c r="I2" s="517"/>
      <c r="J2" s="517"/>
      <c r="K2" s="517"/>
      <c r="L2" s="517"/>
      <c r="M2" s="517"/>
      <c r="N2" s="517"/>
      <c r="O2" s="517"/>
      <c r="P2" s="517"/>
      <c r="Q2" s="517"/>
      <c r="R2" s="517"/>
      <c r="S2" s="517"/>
      <c r="T2" s="517"/>
    </row>
    <row r="3" spans="1:21" ht="17.100000000000001" customHeight="1" thickBot="1" x14ac:dyDescent="0.25"/>
    <row r="4" spans="1:21" s="31" customFormat="1" ht="30.95" customHeight="1" thickBot="1" x14ac:dyDescent="0.3">
      <c r="A4" s="30" t="s">
        <v>0</v>
      </c>
      <c r="B4" s="90" t="s">
        <v>205</v>
      </c>
      <c r="C4" s="90" t="s">
        <v>1</v>
      </c>
      <c r="D4" s="533" t="s">
        <v>2</v>
      </c>
      <c r="E4" s="533"/>
      <c r="F4" s="90" t="s">
        <v>16</v>
      </c>
      <c r="G4" s="559" t="s">
        <v>17</v>
      </c>
      <c r="H4" s="560"/>
      <c r="I4" s="525" t="s">
        <v>192</v>
      </c>
      <c r="J4" s="525"/>
      <c r="K4" s="525" t="s">
        <v>193</v>
      </c>
      <c r="L4" s="525"/>
      <c r="M4" s="525" t="s">
        <v>175</v>
      </c>
      <c r="N4" s="525"/>
      <c r="O4" s="548" t="s">
        <v>157</v>
      </c>
      <c r="P4" s="562"/>
      <c r="Q4" s="548" t="s">
        <v>120</v>
      </c>
      <c r="R4" s="561"/>
      <c r="S4" s="562" t="s">
        <v>160</v>
      </c>
      <c r="T4" s="549"/>
    </row>
    <row r="5" spans="1:21" ht="17.100000000000001" customHeight="1" thickTop="1" x14ac:dyDescent="0.2">
      <c r="A5" s="5">
        <f>Inventory!A5</f>
        <v>1</v>
      </c>
      <c r="B5" s="6" t="str">
        <f>Inventory!B5</f>
        <v>Solar Centaur T4500</v>
      </c>
      <c r="C5" s="6" t="str">
        <f>Inventory!D5</f>
        <v>Fuel Gas</v>
      </c>
      <c r="D5" s="19">
        <f>Inventory!E5</f>
        <v>4500</v>
      </c>
      <c r="E5" s="7" t="str">
        <f>Inventory!F5</f>
        <v>hp</v>
      </c>
      <c r="F5" s="113" t="s">
        <v>188</v>
      </c>
      <c r="G5" s="111">
        <f>D39</f>
        <v>12.316076567999998</v>
      </c>
      <c r="H5" s="69" t="s">
        <v>9</v>
      </c>
      <c r="I5" s="8">
        <f>Inventory!G5</f>
        <v>8760</v>
      </c>
      <c r="J5" s="9" t="str">
        <f>Inventory!H5</f>
        <v>hr/yr</v>
      </c>
      <c r="K5" s="8">
        <f>Inventory!I5</f>
        <v>8760</v>
      </c>
      <c r="L5" s="9" t="str">
        <f>Inventory!J5</f>
        <v>hr/yr</v>
      </c>
      <c r="M5" s="143">
        <f>Inventory!K5</f>
        <v>2985</v>
      </c>
      <c r="N5" s="9" t="str">
        <f>Inventory!L5</f>
        <v>hr/yr</v>
      </c>
      <c r="O5" s="114">
        <f t="shared" ref="O5:O12" si="0">$G5*I5/2000</f>
        <v>53.944415367839987</v>
      </c>
      <c r="P5" s="28" t="s">
        <v>24</v>
      </c>
      <c r="Q5" s="116">
        <f>+O5/I5*K5</f>
        <v>53.944415367839987</v>
      </c>
      <c r="R5" s="9" t="s">
        <v>24</v>
      </c>
      <c r="S5" s="116">
        <f>+Q5/K5*M5</f>
        <v>18.381744277739994</v>
      </c>
      <c r="T5" s="26" t="s">
        <v>24</v>
      </c>
    </row>
    <row r="6" spans="1:21" ht="17.100000000000001" customHeight="1" x14ac:dyDescent="0.2">
      <c r="A6" s="5">
        <f>Inventory!A6</f>
        <v>3</v>
      </c>
      <c r="B6" s="6" t="str">
        <f>Inventory!B6</f>
        <v>Solar Centaur T4500</v>
      </c>
      <c r="C6" s="10" t="str">
        <f>Inventory!D6</f>
        <v>Fuel Gas</v>
      </c>
      <c r="D6" s="13">
        <f>Inventory!E6</f>
        <v>4500</v>
      </c>
      <c r="E6" s="12" t="str">
        <f>Inventory!F6</f>
        <v>hp</v>
      </c>
      <c r="F6" s="6" t="s">
        <v>188</v>
      </c>
      <c r="G6" s="112">
        <f>+G5</f>
        <v>12.316076567999998</v>
      </c>
      <c r="H6" s="3" t="s">
        <v>9</v>
      </c>
      <c r="I6" s="8">
        <f>Inventory!G6</f>
        <v>8760</v>
      </c>
      <c r="J6" s="9" t="str">
        <f>Inventory!H6</f>
        <v>hr/yr</v>
      </c>
      <c r="K6" s="8">
        <f>Inventory!I6</f>
        <v>8760</v>
      </c>
      <c r="L6" s="9" t="str">
        <f>Inventory!J6</f>
        <v>hr/yr</v>
      </c>
      <c r="M6" s="143">
        <f>Inventory!K6</f>
        <v>2369</v>
      </c>
      <c r="N6" s="9" t="str">
        <f>Inventory!L6</f>
        <v>hr/yr</v>
      </c>
      <c r="O6" s="114">
        <f t="shared" si="0"/>
        <v>53.944415367839987</v>
      </c>
      <c r="P6" s="28" t="s">
        <v>24</v>
      </c>
      <c r="Q6" s="116">
        <f t="shared" ref="Q6:Q20" si="1">+O6/I6*K6</f>
        <v>53.944415367839987</v>
      </c>
      <c r="R6" s="9" t="s">
        <v>24</v>
      </c>
      <c r="S6" s="116">
        <f t="shared" ref="S6:S20" si="2">+Q6/K6*M6</f>
        <v>14.588392694795996</v>
      </c>
      <c r="T6" s="26" t="s">
        <v>24</v>
      </c>
    </row>
    <row r="7" spans="1:21" ht="17.100000000000001" customHeight="1" x14ac:dyDescent="0.2">
      <c r="A7" s="5" t="str">
        <f>Inventory!A7</f>
        <v>4a</v>
      </c>
      <c r="B7" s="6" t="str">
        <f>Inventory!B7</f>
        <v>Solar Centaur T4500</v>
      </c>
      <c r="C7" s="10" t="str">
        <f>Inventory!D7</f>
        <v>Fuel Gas</v>
      </c>
      <c r="D7" s="13">
        <f>Inventory!E7</f>
        <v>4500</v>
      </c>
      <c r="E7" s="12" t="str">
        <f>Inventory!F7</f>
        <v>hp</v>
      </c>
      <c r="F7" s="6" t="s">
        <v>188</v>
      </c>
      <c r="G7" s="112">
        <f>+G5</f>
        <v>12.316076567999998</v>
      </c>
      <c r="H7" s="3" t="s">
        <v>9</v>
      </c>
      <c r="I7" s="8">
        <f>Inventory!G7</f>
        <v>8760</v>
      </c>
      <c r="J7" s="9" t="str">
        <f>Inventory!H7</f>
        <v>hr/yr</v>
      </c>
      <c r="K7" s="8">
        <f>Inventory!I7</f>
        <v>8760</v>
      </c>
      <c r="L7" s="9" t="str">
        <f>Inventory!J7</f>
        <v>hr/yr</v>
      </c>
      <c r="M7" s="143">
        <f>Inventory!K7</f>
        <v>8562</v>
      </c>
      <c r="N7" s="9" t="str">
        <f>Inventory!L7</f>
        <v>hr/yr</v>
      </c>
      <c r="O7" s="114">
        <f t="shared" si="0"/>
        <v>53.944415367839987</v>
      </c>
      <c r="P7" s="28" t="s">
        <v>24</v>
      </c>
      <c r="Q7" s="116">
        <f t="shared" si="1"/>
        <v>53.944415367839987</v>
      </c>
      <c r="R7" s="9" t="s">
        <v>24</v>
      </c>
      <c r="S7" s="116">
        <f t="shared" si="2"/>
        <v>52.725123787607984</v>
      </c>
      <c r="T7" s="26" t="s">
        <v>24</v>
      </c>
    </row>
    <row r="8" spans="1:21" ht="17.100000000000001" customHeight="1" x14ac:dyDescent="0.2">
      <c r="A8" s="5">
        <f>Inventory!A8</f>
        <v>14</v>
      </c>
      <c r="B8" s="6" t="str">
        <f>Inventory!B8</f>
        <v>Solar Saturn T1200</v>
      </c>
      <c r="C8" s="10" t="str">
        <f>Inventory!D8</f>
        <v>Fuel Gas</v>
      </c>
      <c r="D8" s="13">
        <f>Inventory!E8</f>
        <v>1100</v>
      </c>
      <c r="E8" s="12" t="str">
        <f>Inventory!F8</f>
        <v>hp</v>
      </c>
      <c r="F8" s="50" t="s">
        <v>110</v>
      </c>
      <c r="G8" s="4">
        <v>2.88</v>
      </c>
      <c r="H8" s="3" t="s">
        <v>9</v>
      </c>
      <c r="I8" s="8">
        <f>Inventory!G8</f>
        <v>8760</v>
      </c>
      <c r="J8" s="9" t="str">
        <f>Inventory!H8</f>
        <v>hr/yr</v>
      </c>
      <c r="K8" s="8">
        <f>Inventory!I8</f>
        <v>8760</v>
      </c>
      <c r="L8" s="9" t="str">
        <f>Inventory!J8</f>
        <v>hr/yr</v>
      </c>
      <c r="M8" s="8">
        <f>Inventory!K8</f>
        <v>0</v>
      </c>
      <c r="N8" s="9" t="str">
        <f>Inventory!L8</f>
        <v>hr/yr</v>
      </c>
      <c r="O8" s="114">
        <f t="shared" si="0"/>
        <v>12.6144</v>
      </c>
      <c r="P8" s="28" t="s">
        <v>24</v>
      </c>
      <c r="Q8" s="116">
        <f t="shared" si="1"/>
        <v>12.614399999999998</v>
      </c>
      <c r="R8" s="9" t="s">
        <v>24</v>
      </c>
      <c r="S8" s="127">
        <f t="shared" si="2"/>
        <v>0</v>
      </c>
      <c r="T8" s="26" t="s">
        <v>24</v>
      </c>
    </row>
    <row r="9" spans="1:21" ht="17.100000000000001" customHeight="1" x14ac:dyDescent="0.2">
      <c r="A9" s="5">
        <f>Inventory!A9</f>
        <v>15</v>
      </c>
      <c r="B9" s="6" t="str">
        <f>Inventory!B9</f>
        <v>Solar Saturn T1200</v>
      </c>
      <c r="C9" s="10" t="str">
        <f>Inventory!D9</f>
        <v>Fuel Gas</v>
      </c>
      <c r="D9" s="11">
        <f>Inventory!E9</f>
        <v>800</v>
      </c>
      <c r="E9" s="12" t="str">
        <f>Inventory!F9</f>
        <v>kW</v>
      </c>
      <c r="F9" s="50" t="s">
        <v>110</v>
      </c>
      <c r="G9" s="4">
        <v>2.81</v>
      </c>
      <c r="H9" s="3" t="s">
        <v>9</v>
      </c>
      <c r="I9" s="8">
        <f>Inventory!G9</f>
        <v>8760</v>
      </c>
      <c r="J9" s="9" t="str">
        <f>Inventory!H9</f>
        <v>hr/yr</v>
      </c>
      <c r="K9" s="8">
        <f>Inventory!I9</f>
        <v>8760</v>
      </c>
      <c r="L9" s="9" t="str">
        <f>Inventory!J9</f>
        <v>hr/yr</v>
      </c>
      <c r="M9" s="143">
        <f>Inventory!K9</f>
        <v>1599</v>
      </c>
      <c r="N9" s="9" t="str">
        <f>Inventory!L9</f>
        <v>hr/yr</v>
      </c>
      <c r="O9" s="114">
        <f t="shared" si="0"/>
        <v>12.3078</v>
      </c>
      <c r="P9" s="28" t="s">
        <v>24</v>
      </c>
      <c r="Q9" s="116">
        <f t="shared" si="1"/>
        <v>12.3078</v>
      </c>
      <c r="R9" s="9" t="s">
        <v>24</v>
      </c>
      <c r="S9" s="116">
        <f t="shared" si="2"/>
        <v>2.2465950000000001</v>
      </c>
      <c r="T9" s="26" t="s">
        <v>24</v>
      </c>
    </row>
    <row r="10" spans="1:21" ht="17.100000000000001" customHeight="1" x14ac:dyDescent="0.2">
      <c r="A10" s="5">
        <f>Inventory!A10</f>
        <v>16</v>
      </c>
      <c r="B10" s="6" t="str">
        <f>Inventory!B10</f>
        <v>Solar Saturn T1200</v>
      </c>
      <c r="C10" s="10" t="str">
        <f>Inventory!D10</f>
        <v>Fuel Gas</v>
      </c>
      <c r="D10" s="11">
        <f>Inventory!E10</f>
        <v>750</v>
      </c>
      <c r="E10" s="12" t="str">
        <f>Inventory!F10</f>
        <v>kW</v>
      </c>
      <c r="F10" s="50" t="s">
        <v>110</v>
      </c>
      <c r="G10" s="4">
        <v>2.81</v>
      </c>
      <c r="H10" s="3" t="s">
        <v>9</v>
      </c>
      <c r="I10" s="8">
        <f>Inventory!G10</f>
        <v>8760</v>
      </c>
      <c r="J10" s="9" t="str">
        <f>Inventory!H10</f>
        <v>hr/yr</v>
      </c>
      <c r="K10" s="8">
        <f>Inventory!I10</f>
        <v>8760</v>
      </c>
      <c r="L10" s="9" t="str">
        <f>Inventory!J10</f>
        <v>hr/yr</v>
      </c>
      <c r="M10" s="143">
        <f>Inventory!K10</f>
        <v>1868</v>
      </c>
      <c r="N10" s="9" t="str">
        <f>Inventory!L10</f>
        <v>hr/yr</v>
      </c>
      <c r="O10" s="114">
        <f t="shared" si="0"/>
        <v>12.3078</v>
      </c>
      <c r="P10" s="28" t="s">
        <v>24</v>
      </c>
      <c r="Q10" s="116">
        <f t="shared" si="1"/>
        <v>12.3078</v>
      </c>
      <c r="R10" s="9" t="s">
        <v>24</v>
      </c>
      <c r="S10" s="116">
        <f t="shared" si="2"/>
        <v>2.6245400000000001</v>
      </c>
      <c r="T10" s="26" t="s">
        <v>24</v>
      </c>
    </row>
    <row r="11" spans="1:21" ht="17.100000000000001" customHeight="1" x14ac:dyDescent="0.2">
      <c r="A11" s="5">
        <f>Inventory!A11</f>
        <v>17</v>
      </c>
      <c r="B11" s="6" t="str">
        <f>Inventory!B11</f>
        <v>Solar Saturn T1200</v>
      </c>
      <c r="C11" s="10" t="str">
        <f>Inventory!D11</f>
        <v>Fuel Gas</v>
      </c>
      <c r="D11" s="11">
        <f>Inventory!E11</f>
        <v>800</v>
      </c>
      <c r="E11" s="12" t="str">
        <f>Inventory!F11</f>
        <v>kW</v>
      </c>
      <c r="F11" s="50" t="s">
        <v>110</v>
      </c>
      <c r="G11" s="4">
        <v>2.63</v>
      </c>
      <c r="H11" s="3" t="s">
        <v>9</v>
      </c>
      <c r="I11" s="8">
        <f>Inventory!G11</f>
        <v>8760</v>
      </c>
      <c r="J11" s="9" t="str">
        <f>Inventory!H11</f>
        <v>hr/yr</v>
      </c>
      <c r="K11" s="8">
        <f>Inventory!I11</f>
        <v>8760</v>
      </c>
      <c r="L11" s="9" t="str">
        <f>Inventory!J11</f>
        <v>hr/yr</v>
      </c>
      <c r="M11" s="143">
        <f>Inventory!K11</f>
        <v>1384</v>
      </c>
      <c r="N11" s="9" t="str">
        <f>Inventory!L11</f>
        <v>hr/yr</v>
      </c>
      <c r="O11" s="114">
        <f t="shared" si="0"/>
        <v>11.519399999999999</v>
      </c>
      <c r="P11" s="28" t="s">
        <v>24</v>
      </c>
      <c r="Q11" s="116">
        <f t="shared" si="1"/>
        <v>11.519399999999999</v>
      </c>
      <c r="R11" s="9" t="s">
        <v>24</v>
      </c>
      <c r="S11" s="116">
        <f t="shared" si="2"/>
        <v>1.81996</v>
      </c>
      <c r="T11" s="26" t="s">
        <v>24</v>
      </c>
    </row>
    <row r="12" spans="1:21" ht="17.100000000000001" customHeight="1" x14ac:dyDescent="0.2">
      <c r="A12" s="5">
        <f>Inventory!A12</f>
        <v>18</v>
      </c>
      <c r="B12" s="6" t="str">
        <f>Inventory!B12</f>
        <v>Solar Saturn T1200</v>
      </c>
      <c r="C12" s="10" t="str">
        <f>Inventory!D12</f>
        <v>Fuel Gas</v>
      </c>
      <c r="D12" s="11">
        <f>Inventory!E12</f>
        <v>800</v>
      </c>
      <c r="E12" s="12" t="str">
        <f>Inventory!F12</f>
        <v>kW</v>
      </c>
      <c r="F12" s="50" t="s">
        <v>110</v>
      </c>
      <c r="G12" s="4">
        <v>2.81</v>
      </c>
      <c r="H12" s="3" t="s">
        <v>9</v>
      </c>
      <c r="I12" s="8">
        <f>Inventory!G12</f>
        <v>8760</v>
      </c>
      <c r="J12" s="9" t="str">
        <f>Inventory!H12</f>
        <v>hr/yr</v>
      </c>
      <c r="K12" s="8">
        <f>Inventory!I12</f>
        <v>8760</v>
      </c>
      <c r="L12" s="9" t="str">
        <f>Inventory!J12</f>
        <v>hr/yr</v>
      </c>
      <c r="M12" s="143">
        <f>Inventory!K12</f>
        <v>1380</v>
      </c>
      <c r="N12" s="9" t="str">
        <f>Inventory!L12</f>
        <v>hr/yr</v>
      </c>
      <c r="O12" s="114">
        <f t="shared" si="0"/>
        <v>12.3078</v>
      </c>
      <c r="P12" s="28" t="s">
        <v>24</v>
      </c>
      <c r="Q12" s="116">
        <f t="shared" si="1"/>
        <v>12.3078</v>
      </c>
      <c r="R12" s="9" t="s">
        <v>24</v>
      </c>
      <c r="S12" s="116">
        <f t="shared" si="2"/>
        <v>1.9389000000000001</v>
      </c>
      <c r="T12" s="26" t="s">
        <v>24</v>
      </c>
    </row>
    <row r="13" spans="1:21" ht="37.5" customHeight="1" x14ac:dyDescent="0.2">
      <c r="A13" s="123">
        <f>Inventory!A17</f>
        <v>28</v>
      </c>
      <c r="B13" s="125" t="str">
        <f>Inventory!B17</f>
        <v>Flare (South)</v>
      </c>
      <c r="C13" s="365" t="str">
        <f>Inventory!D17</f>
        <v>Fuel Gas</v>
      </c>
      <c r="D13" s="444">
        <f>Inventory!E17</f>
        <v>0.12</v>
      </c>
      <c r="E13" s="445" t="str">
        <f>Inventory!F17</f>
        <v>MMscf/day, pilot/purge combined</v>
      </c>
      <c r="F13" s="531" t="s">
        <v>21</v>
      </c>
      <c r="G13" s="551">
        <v>6.8000000000000005E-2</v>
      </c>
      <c r="H13" s="553" t="s">
        <v>20</v>
      </c>
      <c r="I13" s="581">
        <f>Inventory!G17</f>
        <v>193.762</v>
      </c>
      <c r="J13" s="575" t="s">
        <v>266</v>
      </c>
      <c r="K13" s="563">
        <f>Inventory!I17</f>
        <v>14.12</v>
      </c>
      <c r="L13" s="575" t="str">
        <f>Inventory!J17</f>
        <v>MMscf/day, each</v>
      </c>
      <c r="M13" s="573">
        <f>Inventory!K17</f>
        <v>49829</v>
      </c>
      <c r="N13" s="575" t="str">
        <f>Inventory!L17</f>
        <v>Mscf/yr,  combined</v>
      </c>
      <c r="O13" s="577">
        <f>I13*C49*G13/2000</f>
        <v>6.6999024360000003</v>
      </c>
      <c r="P13" s="579" t="s">
        <v>24</v>
      </c>
      <c r="Q13" s="577">
        <f>K13*C49*365*G13/2000*2</f>
        <v>356.41619280000003</v>
      </c>
      <c r="R13" s="553" t="s">
        <v>24</v>
      </c>
      <c r="S13" s="569">
        <f>M13/1000*C49*G13/2000</f>
        <v>1.7229871620000001</v>
      </c>
      <c r="T13" s="571" t="s">
        <v>24</v>
      </c>
    </row>
    <row r="14" spans="1:21" ht="37.5" customHeight="1" x14ac:dyDescent="0.2">
      <c r="A14" s="123">
        <f>Inventory!A18</f>
        <v>29</v>
      </c>
      <c r="B14" s="125" t="str">
        <f>Inventory!B18</f>
        <v>Flare (SW)</v>
      </c>
      <c r="C14" s="365" t="str">
        <f>Inventory!D18</f>
        <v>Fuel Gas</v>
      </c>
      <c r="D14" s="188">
        <f>Inventory!E18</f>
        <v>14</v>
      </c>
      <c r="E14" s="367" t="str">
        <f>Inventory!F18</f>
        <v>MMscf/day, emergency each</v>
      </c>
      <c r="F14" s="550"/>
      <c r="G14" s="552"/>
      <c r="H14" s="554"/>
      <c r="I14" s="582"/>
      <c r="J14" s="576"/>
      <c r="K14" s="564"/>
      <c r="L14" s="576"/>
      <c r="M14" s="574"/>
      <c r="N14" s="576"/>
      <c r="O14" s="578"/>
      <c r="P14" s="580"/>
      <c r="Q14" s="578"/>
      <c r="R14" s="554" t="s">
        <v>24</v>
      </c>
      <c r="S14" s="570"/>
      <c r="T14" s="572" t="s">
        <v>24</v>
      </c>
      <c r="U14" s="317"/>
    </row>
    <row r="15" spans="1:21" ht="17.100000000000001" customHeight="1" x14ac:dyDescent="0.2">
      <c r="A15" s="565">
        <f>Inventory!A19</f>
        <v>31</v>
      </c>
      <c r="B15" s="567" t="str">
        <f>Inventory!B19</f>
        <v>Solar Taurus 60 T-7300S</v>
      </c>
      <c r="C15" s="555" t="str">
        <f>Inventory!D19</f>
        <v>Fuel Gas</v>
      </c>
      <c r="D15" s="573">
        <f>Inventory!E19</f>
        <v>5.2</v>
      </c>
      <c r="E15" s="553" t="str">
        <f>Inventory!F19</f>
        <v>MW</v>
      </c>
      <c r="F15" s="6" t="s">
        <v>190</v>
      </c>
      <c r="G15" s="87">
        <v>5.2</v>
      </c>
      <c r="H15" s="3" t="s">
        <v>9</v>
      </c>
      <c r="I15" s="80">
        <f>Inventory!G19</f>
        <v>8380</v>
      </c>
      <c r="J15" s="78" t="str">
        <f>Inventory!H19</f>
        <v>hr/yr</v>
      </c>
      <c r="K15" s="563">
        <f>Inventory!I19</f>
        <v>8760</v>
      </c>
      <c r="L15" s="553" t="str">
        <f>Inventory!J19</f>
        <v>hr/yr</v>
      </c>
      <c r="M15" s="144">
        <f>Inventory!K19</f>
        <v>7324.4</v>
      </c>
      <c r="N15" s="78" t="str">
        <f>Inventory!L19</f>
        <v>hr/yr</v>
      </c>
      <c r="O15" s="557">
        <v>22.9</v>
      </c>
      <c r="P15" s="553" t="s">
        <v>194</v>
      </c>
      <c r="Q15" s="577">
        <f>G16*K15/2000</f>
        <v>26.455200000000001</v>
      </c>
      <c r="R15" s="553" t="s">
        <v>24</v>
      </c>
      <c r="S15" s="118">
        <f>G15*M15/2000</f>
        <v>19.04344</v>
      </c>
      <c r="T15" s="79" t="s">
        <v>24</v>
      </c>
    </row>
    <row r="16" spans="1:21" ht="17.100000000000001" customHeight="1" x14ac:dyDescent="0.2">
      <c r="A16" s="566"/>
      <c r="B16" s="568"/>
      <c r="C16" s="556"/>
      <c r="D16" s="574">
        <f>Inventory!E20</f>
        <v>0</v>
      </c>
      <c r="E16" s="554">
        <f>Inventory!F20</f>
        <v>0</v>
      </c>
      <c r="F16" s="122" t="s">
        <v>191</v>
      </c>
      <c r="G16" s="421">
        <v>6.04</v>
      </c>
      <c r="H16" s="422" t="s">
        <v>9</v>
      </c>
      <c r="I16" s="8">
        <f>Inventory!G20</f>
        <v>380</v>
      </c>
      <c r="J16" s="9" t="s">
        <v>5</v>
      </c>
      <c r="K16" s="564">
        <f>Inventory!I20</f>
        <v>0</v>
      </c>
      <c r="L16" s="554">
        <f>Inventory!J20</f>
        <v>0</v>
      </c>
      <c r="M16" s="143">
        <f>Inventory!K20</f>
        <v>32.600000000000364</v>
      </c>
      <c r="N16" s="28" t="str">
        <f>Inventory!L20</f>
        <v>hr/yr</v>
      </c>
      <c r="O16" s="558"/>
      <c r="P16" s="554"/>
      <c r="Q16" s="578"/>
      <c r="R16" s="554"/>
      <c r="S16" s="117">
        <f>G16*M16/2000</f>
        <v>9.8452000000001094E-2</v>
      </c>
      <c r="T16" s="26" t="s">
        <v>24</v>
      </c>
    </row>
    <row r="17" spans="1:20" ht="17.100000000000001" customHeight="1" x14ac:dyDescent="0.2">
      <c r="A17" s="74">
        <f>Inventory!A13</f>
        <v>24</v>
      </c>
      <c r="B17" s="32" t="str">
        <f>Inventory!B13</f>
        <v>Caterpillar 3406</v>
      </c>
      <c r="C17" s="322" t="str">
        <f>Inventory!D13</f>
        <v>Diesel</v>
      </c>
      <c r="D17" s="424">
        <f>Inventory!E13</f>
        <v>340</v>
      </c>
      <c r="E17" s="3" t="str">
        <f>Inventory!F13</f>
        <v>hp</v>
      </c>
      <c r="F17" s="50" t="s">
        <v>108</v>
      </c>
      <c r="G17" s="4">
        <v>3.1E-2</v>
      </c>
      <c r="H17" s="3" t="s">
        <v>169</v>
      </c>
      <c r="I17" s="188">
        <f>Inventory!G13</f>
        <v>3000</v>
      </c>
      <c r="J17" s="14" t="s">
        <v>5</v>
      </c>
      <c r="K17" s="188">
        <f>Inventory!I13</f>
        <v>8760</v>
      </c>
      <c r="L17" s="14" t="str">
        <f>Inventory!J13</f>
        <v>hr/yr</v>
      </c>
      <c r="M17" s="429">
        <f>Inventory!K13</f>
        <v>154</v>
      </c>
      <c r="N17" s="14" t="str">
        <f>Inventory!L13</f>
        <v>hr/yr</v>
      </c>
      <c r="O17" s="425">
        <f>$D17*$G17*I17/2000</f>
        <v>15.809999999999999</v>
      </c>
      <c r="P17" s="29" t="s">
        <v>24</v>
      </c>
      <c r="Q17" s="426">
        <f t="shared" si="1"/>
        <v>46.165199999999999</v>
      </c>
      <c r="R17" s="14" t="s">
        <v>24</v>
      </c>
      <c r="S17" s="426">
        <f t="shared" si="2"/>
        <v>0.81157999999999997</v>
      </c>
      <c r="T17" s="27" t="s">
        <v>24</v>
      </c>
    </row>
    <row r="18" spans="1:20" ht="17.100000000000001" customHeight="1" x14ac:dyDescent="0.2">
      <c r="A18" s="5">
        <f>Inventory!A14</f>
        <v>25</v>
      </c>
      <c r="B18" s="6" t="str">
        <f>Inventory!B14</f>
        <v>Caterpillar 3208</v>
      </c>
      <c r="C18" s="10" t="str">
        <f>Inventory!D14</f>
        <v>Diesel</v>
      </c>
      <c r="D18" s="13">
        <f>Inventory!E14</f>
        <v>250</v>
      </c>
      <c r="E18" s="12" t="str">
        <f>Inventory!F14</f>
        <v>hp</v>
      </c>
      <c r="F18" s="50" t="s">
        <v>108</v>
      </c>
      <c r="G18" s="4">
        <v>3.1E-2</v>
      </c>
      <c r="H18" s="3" t="s">
        <v>169</v>
      </c>
      <c r="I18" s="8">
        <f>Inventory!G14</f>
        <v>3000</v>
      </c>
      <c r="J18" s="9" t="s">
        <v>5</v>
      </c>
      <c r="K18" s="8">
        <f>Inventory!I14</f>
        <v>8760</v>
      </c>
      <c r="L18" s="9" t="str">
        <f>Inventory!J14</f>
        <v>hr/yr</v>
      </c>
      <c r="M18" s="143">
        <f>Inventory!K14</f>
        <v>510</v>
      </c>
      <c r="N18" s="9" t="str">
        <f>Inventory!L14</f>
        <v>hr/yr</v>
      </c>
      <c r="O18" s="114">
        <f>$D18*$G18*I18/2000</f>
        <v>11.625</v>
      </c>
      <c r="P18" s="28" t="s">
        <v>24</v>
      </c>
      <c r="Q18" s="116">
        <f t="shared" si="1"/>
        <v>33.945</v>
      </c>
      <c r="R18" s="9" t="s">
        <v>24</v>
      </c>
      <c r="S18" s="116">
        <f t="shared" si="2"/>
        <v>1.9762500000000001</v>
      </c>
      <c r="T18" s="26" t="s">
        <v>24</v>
      </c>
    </row>
    <row r="19" spans="1:20" ht="17.100000000000001" customHeight="1" x14ac:dyDescent="0.2">
      <c r="A19" s="5" t="str">
        <f>Inventory!A15</f>
        <v>26a</v>
      </c>
      <c r="B19" s="6" t="str">
        <f>Inventory!B15</f>
        <v>Detroit Diesel Series 60 6063HV35</v>
      </c>
      <c r="C19" s="10" t="str">
        <f>Inventory!D15</f>
        <v>Diesel</v>
      </c>
      <c r="D19" s="13">
        <f>Inventory!E15</f>
        <v>685</v>
      </c>
      <c r="E19" s="12" t="str">
        <f>Inventory!F15</f>
        <v>hp</v>
      </c>
      <c r="F19" s="50" t="s">
        <v>164</v>
      </c>
      <c r="G19" s="112">
        <f>(4*1.25)*0.95</f>
        <v>4.75</v>
      </c>
      <c r="H19" s="3" t="s">
        <v>189</v>
      </c>
      <c r="I19" s="8">
        <f>Inventory!G15</f>
        <v>500</v>
      </c>
      <c r="J19" s="9" t="s">
        <v>5</v>
      </c>
      <c r="K19" s="8">
        <f>Inventory!I15</f>
        <v>8760</v>
      </c>
      <c r="L19" s="14" t="str">
        <f>Inventory!J15</f>
        <v>hr/yr</v>
      </c>
      <c r="M19" s="143">
        <f>Inventory!K15</f>
        <v>1</v>
      </c>
      <c r="N19" s="14" t="str">
        <f>Inventory!L15</f>
        <v>hr/yr</v>
      </c>
      <c r="O19" s="114">
        <f>+D19/1.341*G19/453.592*I19/2000</f>
        <v>1.3373036366839983</v>
      </c>
      <c r="P19" s="29" t="s">
        <v>24</v>
      </c>
      <c r="Q19" s="116">
        <f t="shared" si="1"/>
        <v>23.42955971470365</v>
      </c>
      <c r="R19" s="14" t="s">
        <v>24</v>
      </c>
      <c r="S19" s="128">
        <f t="shared" si="2"/>
        <v>2.6746072733679965E-3</v>
      </c>
      <c r="T19" s="27" t="s">
        <v>24</v>
      </c>
    </row>
    <row r="20" spans="1:20" ht="17.100000000000001" customHeight="1" thickBot="1" x14ac:dyDescent="0.25">
      <c r="A20" s="15">
        <f>Inventory!A16</f>
        <v>27</v>
      </c>
      <c r="B20" s="16" t="str">
        <f>Inventory!B16</f>
        <v>Caterpillar D-330C</v>
      </c>
      <c r="C20" s="403" t="str">
        <f>Inventory!D16</f>
        <v>Diesel</v>
      </c>
      <c r="D20" s="409">
        <f>Inventory!E16</f>
        <v>85</v>
      </c>
      <c r="E20" s="17" t="str">
        <f>Inventory!F16</f>
        <v>hp</v>
      </c>
      <c r="F20" s="430" t="s">
        <v>108</v>
      </c>
      <c r="G20" s="75">
        <v>3.1E-2</v>
      </c>
      <c r="H20" s="17" t="s">
        <v>169</v>
      </c>
      <c r="I20" s="81">
        <f>Inventory!G16</f>
        <v>3000</v>
      </c>
      <c r="J20" s="91" t="s">
        <v>5</v>
      </c>
      <c r="K20" s="81">
        <f>Inventory!I16</f>
        <v>8760</v>
      </c>
      <c r="L20" s="91" t="str">
        <f>Inventory!J16</f>
        <v>hr/yr</v>
      </c>
      <c r="M20" s="142">
        <f>Inventory!K16</f>
        <v>19.5</v>
      </c>
      <c r="N20" s="91" t="str">
        <f>Inventory!L16</f>
        <v>hr/yr</v>
      </c>
      <c r="O20" s="137">
        <f>$D20*$G20*I20/2000</f>
        <v>3.9524999999999997</v>
      </c>
      <c r="P20" s="82" t="s">
        <v>24</v>
      </c>
      <c r="Q20" s="134">
        <f t="shared" si="1"/>
        <v>11.5413</v>
      </c>
      <c r="R20" s="91" t="s">
        <v>24</v>
      </c>
      <c r="S20" s="140">
        <f t="shared" si="2"/>
        <v>2.5691249999999999E-2</v>
      </c>
      <c r="T20" s="83" t="s">
        <v>24</v>
      </c>
    </row>
    <row r="21" spans="1:20" ht="17.100000000000001" customHeight="1" thickBot="1" x14ac:dyDescent="0.25">
      <c r="H21" s="70" t="s">
        <v>23</v>
      </c>
      <c r="J21" s="33"/>
      <c r="L21" s="33"/>
      <c r="O21" s="115">
        <f>SUM(O5:O20)</f>
        <v>285.2151521762039</v>
      </c>
      <c r="P21" s="36" t="s">
        <v>24</v>
      </c>
      <c r="Q21" s="115">
        <f>SUM(Q5:Q20)</f>
        <v>720.84289861822367</v>
      </c>
      <c r="R21" s="36" t="s">
        <v>24</v>
      </c>
      <c r="S21" s="115">
        <f>SUM(S5:S20)</f>
        <v>118.00633077941733</v>
      </c>
      <c r="T21" s="36" t="s">
        <v>24</v>
      </c>
    </row>
    <row r="22" spans="1:20" ht="17.100000000000001" customHeight="1" x14ac:dyDescent="0.2"/>
    <row r="23" spans="1:20" ht="17.100000000000001" customHeight="1" x14ac:dyDescent="0.25">
      <c r="A23" s="517" t="s">
        <v>220</v>
      </c>
      <c r="B23" s="517"/>
      <c r="C23" s="517"/>
      <c r="D23" s="517"/>
      <c r="E23" s="517"/>
      <c r="F23" s="517"/>
      <c r="G23" s="517"/>
      <c r="H23" s="517"/>
      <c r="I23" s="517"/>
      <c r="J23" s="517"/>
      <c r="K23" s="517"/>
      <c r="L23" s="517"/>
      <c r="M23" s="517"/>
      <c r="N23" s="517"/>
      <c r="O23" s="517"/>
      <c r="P23" s="517"/>
    </row>
    <row r="24" spans="1:20" ht="17.100000000000001" customHeight="1" x14ac:dyDescent="0.2">
      <c r="A24" s="517" t="str">
        <f>A2</f>
        <v>Hilcorp Alaska, LLC - Grayling Platform</v>
      </c>
      <c r="B24" s="517"/>
      <c r="C24" s="517"/>
      <c r="D24" s="517"/>
      <c r="E24" s="517"/>
      <c r="F24" s="517"/>
      <c r="G24" s="517"/>
      <c r="H24" s="517"/>
      <c r="I24" s="517"/>
      <c r="J24" s="517"/>
      <c r="K24" s="517"/>
      <c r="L24" s="517"/>
      <c r="M24" s="517"/>
      <c r="N24" s="517"/>
      <c r="O24" s="517"/>
      <c r="P24" s="517"/>
    </row>
    <row r="25" spans="1:20" ht="17.100000000000001" customHeight="1" thickBot="1" x14ac:dyDescent="0.25">
      <c r="O25" s="119"/>
    </row>
    <row r="26" spans="1:20" ht="30.95" customHeight="1" thickBot="1" x14ac:dyDescent="0.25">
      <c r="A26" s="104" t="s">
        <v>0</v>
      </c>
      <c r="B26" s="393" t="s">
        <v>205</v>
      </c>
      <c r="C26" s="393" t="s">
        <v>1</v>
      </c>
      <c r="D26" s="525" t="s">
        <v>2</v>
      </c>
      <c r="E26" s="525"/>
      <c r="F26" s="395" t="s">
        <v>16</v>
      </c>
      <c r="G26" s="548" t="s">
        <v>17</v>
      </c>
      <c r="H26" s="561"/>
      <c r="I26" s="525" t="s">
        <v>193</v>
      </c>
      <c r="J26" s="525"/>
      <c r="K26" s="548" t="s">
        <v>120</v>
      </c>
      <c r="L26" s="549"/>
      <c r="M26" s="402"/>
      <c r="N26" s="402"/>
      <c r="O26" s="548" t="s">
        <v>120</v>
      </c>
      <c r="P26" s="549"/>
    </row>
    <row r="27" spans="1:20" ht="17.100000000000001" customHeight="1" thickTop="1" x14ac:dyDescent="0.2">
      <c r="A27" s="5" t="str">
        <f>Inventory!A26</f>
        <v>N/A</v>
      </c>
      <c r="B27" s="6" t="str">
        <f>Inventory!B26</f>
        <v>Clayton ROG-60-1 Boiler</v>
      </c>
      <c r="C27" s="10" t="str">
        <f>Inventory!D26</f>
        <v>Fuel Gas</v>
      </c>
      <c r="D27" s="11">
        <f>Inventory!E26</f>
        <v>2.5</v>
      </c>
      <c r="E27" s="12" t="str">
        <f>Inventory!F26</f>
        <v>MMBtu/hr</v>
      </c>
      <c r="F27" s="32" t="s">
        <v>18</v>
      </c>
      <c r="G27" s="4">
        <v>100</v>
      </c>
      <c r="H27" s="3" t="s">
        <v>19</v>
      </c>
      <c r="I27" s="19">
        <f>Inventory!G26</f>
        <v>8760</v>
      </c>
      <c r="J27" s="7" t="str">
        <f>Inventory!H26</f>
        <v>hr/yr</v>
      </c>
      <c r="K27" s="130">
        <f>D27/$C$49*G27*I27/2000</f>
        <v>1.0766961651917404</v>
      </c>
      <c r="L27" s="24" t="s">
        <v>24</v>
      </c>
      <c r="O27" s="130">
        <f>K27</f>
        <v>1.0766961651917404</v>
      </c>
      <c r="P27" s="24" t="s">
        <v>24</v>
      </c>
    </row>
    <row r="28" spans="1:20" ht="17.100000000000001" customHeight="1" x14ac:dyDescent="0.2">
      <c r="A28" s="5" t="str">
        <f>Inventory!A27</f>
        <v>N/A</v>
      </c>
      <c r="B28" s="6" t="str">
        <f>Inventory!B27</f>
        <v>Portable Space Heaters</v>
      </c>
      <c r="C28" s="10" t="str">
        <f>Inventory!D27</f>
        <v>Diesel</v>
      </c>
      <c r="D28" s="89">
        <f>Inventory!E27</f>
        <v>8</v>
      </c>
      <c r="E28" s="12" t="str">
        <f>Inventory!F27</f>
        <v>MMBtu/hr</v>
      </c>
      <c r="F28" s="32" t="s">
        <v>111</v>
      </c>
      <c r="G28" s="4">
        <v>20</v>
      </c>
      <c r="H28" s="3" t="s">
        <v>22</v>
      </c>
      <c r="I28" s="19">
        <f>Inventory!G27</f>
        <v>8760</v>
      </c>
      <c r="J28" s="7" t="str">
        <f>Inventory!H27</f>
        <v>hr/yr</v>
      </c>
      <c r="K28" s="130">
        <f>G28*1000000/(1000*$C$51)*D28*I28/2000</f>
        <v>5.1153284671532848</v>
      </c>
      <c r="L28" s="24" t="s">
        <v>24</v>
      </c>
      <c r="O28" s="130">
        <f t="shared" ref="O28:O31" si="3">K28</f>
        <v>5.1153284671532848</v>
      </c>
      <c r="P28" s="24" t="s">
        <v>24</v>
      </c>
    </row>
    <row r="29" spans="1:20" ht="17.100000000000001" customHeight="1" x14ac:dyDescent="0.2">
      <c r="A29" s="5" t="str">
        <f>Inventory!A28</f>
        <v>N/A</v>
      </c>
      <c r="B29" s="6" t="str">
        <f>Inventory!B28</f>
        <v>Clayton Sigma Fire</v>
      </c>
      <c r="C29" s="10" t="str">
        <f>Inventory!D28</f>
        <v>Fuel Gas</v>
      </c>
      <c r="D29" s="11">
        <f>Inventory!E28</f>
        <v>50</v>
      </c>
      <c r="E29" s="12" t="str">
        <f>Inventory!F28</f>
        <v>bhp</v>
      </c>
      <c r="F29" s="6" t="s">
        <v>18</v>
      </c>
      <c r="G29" s="11">
        <v>100</v>
      </c>
      <c r="H29" s="12" t="s">
        <v>19</v>
      </c>
      <c r="I29" s="19">
        <f>Inventory!G28</f>
        <v>8760</v>
      </c>
      <c r="J29" s="7" t="str">
        <f>Inventory!H28</f>
        <v>hr/yr</v>
      </c>
      <c r="K29" s="130">
        <f>D29*C50/1000000/C49*G29*I29/2000</f>
        <v>0.72093421828908566</v>
      </c>
      <c r="L29" s="24" t="s">
        <v>24</v>
      </c>
      <c r="O29" s="130">
        <f t="shared" si="3"/>
        <v>0.72093421828908566</v>
      </c>
      <c r="P29" s="24" t="s">
        <v>24</v>
      </c>
    </row>
    <row r="30" spans="1:20" ht="17.100000000000001" customHeight="1" x14ac:dyDescent="0.2">
      <c r="A30" s="5" t="str">
        <f>Inventory!A29</f>
        <v>19a</v>
      </c>
      <c r="B30" s="6" t="str">
        <f>Inventory!B29</f>
        <v>Riello AR 400 Boiler</v>
      </c>
      <c r="C30" s="10" t="str">
        <f>Inventory!D29</f>
        <v>Fuel Gas</v>
      </c>
      <c r="D30" s="11">
        <f>Inventory!E29</f>
        <v>4</v>
      </c>
      <c r="E30" s="12" t="str">
        <f>Inventory!F29</f>
        <v>MMBtu/hr</v>
      </c>
      <c r="F30" s="32" t="s">
        <v>18</v>
      </c>
      <c r="G30" s="4">
        <v>100</v>
      </c>
      <c r="H30" s="3" t="s">
        <v>19</v>
      </c>
      <c r="I30" s="19">
        <f>Inventory!G29</f>
        <v>8760</v>
      </c>
      <c r="J30" s="7" t="str">
        <f>Inventory!H29</f>
        <v>hr/yr</v>
      </c>
      <c r="K30" s="130">
        <f>D30/$C$49*G30*I30/2000</f>
        <v>1.7227138643067847</v>
      </c>
      <c r="L30" s="24" t="s">
        <v>24</v>
      </c>
      <c r="O30" s="130">
        <f t="shared" si="3"/>
        <v>1.7227138643067847</v>
      </c>
      <c r="P30" s="24" t="s">
        <v>24</v>
      </c>
    </row>
    <row r="31" spans="1:20" ht="17.100000000000001" customHeight="1" x14ac:dyDescent="0.2">
      <c r="A31" s="5" t="str">
        <f>Inventory!A30</f>
        <v>19b</v>
      </c>
      <c r="B31" s="6" t="str">
        <f>Inventory!B30</f>
        <v>Riello AR 400 Boiler</v>
      </c>
      <c r="C31" s="10" t="str">
        <f>Inventory!D30</f>
        <v>Fuel Gas</v>
      </c>
      <c r="D31" s="11">
        <f>Inventory!E30</f>
        <v>4</v>
      </c>
      <c r="E31" s="12" t="str">
        <f>Inventory!F30</f>
        <v>MMBtu/hr</v>
      </c>
      <c r="F31" s="32" t="s">
        <v>18</v>
      </c>
      <c r="G31" s="4">
        <v>100</v>
      </c>
      <c r="H31" s="3" t="s">
        <v>19</v>
      </c>
      <c r="I31" s="19">
        <f>Inventory!G30</f>
        <v>8760</v>
      </c>
      <c r="J31" s="7" t="str">
        <f>Inventory!H30</f>
        <v>hr/yr</v>
      </c>
      <c r="K31" s="130">
        <f>D31/$C$49*G31*I31/2000</f>
        <v>1.7227138643067847</v>
      </c>
      <c r="L31" s="24" t="s">
        <v>24</v>
      </c>
      <c r="O31" s="130">
        <f t="shared" si="3"/>
        <v>1.7227138643067847</v>
      </c>
      <c r="P31" s="24" t="s">
        <v>24</v>
      </c>
    </row>
    <row r="32" spans="1:20" ht="17.100000000000001" customHeight="1" x14ac:dyDescent="0.2">
      <c r="A32" s="5" t="str">
        <f>Inventory!A31</f>
        <v>20a</v>
      </c>
      <c r="B32" s="6" t="str">
        <f>Inventory!B31</f>
        <v>Riello AR 400 Boiler</v>
      </c>
      <c r="C32" s="10" t="str">
        <f>Inventory!D31</f>
        <v>Fuel Gas</v>
      </c>
      <c r="D32" s="11">
        <f>Inventory!E31</f>
        <v>4</v>
      </c>
      <c r="E32" s="12" t="str">
        <f>Inventory!F31</f>
        <v>MMBtu/hr</v>
      </c>
      <c r="F32" s="32" t="s">
        <v>112</v>
      </c>
      <c r="G32" s="4">
        <v>101</v>
      </c>
      <c r="H32" s="3" t="s">
        <v>19</v>
      </c>
      <c r="I32" s="19">
        <f>Inventory!G31</f>
        <v>8760</v>
      </c>
      <c r="J32" s="7" t="str">
        <f>Inventory!H31</f>
        <v>hr/yr</v>
      </c>
      <c r="K32" s="130">
        <f>D32/$C$49*G32*I32/2000</f>
        <v>1.7399410029498525</v>
      </c>
      <c r="L32" s="24" t="s">
        <v>24</v>
      </c>
      <c r="O32" s="130">
        <f t="shared" ref="O32" si="4">K32</f>
        <v>1.7399410029498525</v>
      </c>
      <c r="P32" s="24" t="s">
        <v>24</v>
      </c>
    </row>
    <row r="33" spans="1:20" ht="17.100000000000001" customHeight="1" thickBot="1" x14ac:dyDescent="0.25">
      <c r="A33" s="15" t="str">
        <f>Inventory!A32</f>
        <v>N/A</v>
      </c>
      <c r="B33" s="16" t="str">
        <f>Inventory!B32</f>
        <v>Diesel Fuel Tank (G-T-3090)</v>
      </c>
      <c r="C33" s="403" t="str">
        <f>Inventory!D32</f>
        <v>N/A</v>
      </c>
      <c r="D33" s="409">
        <f>Inventory!E32</f>
        <v>2547</v>
      </c>
      <c r="E33" s="17" t="str">
        <f>Inventory!F32</f>
        <v>barrels</v>
      </c>
      <c r="F33" s="77" t="s">
        <v>274</v>
      </c>
      <c r="G33" s="546" t="s">
        <v>274</v>
      </c>
      <c r="H33" s="547"/>
      <c r="I33" s="20">
        <f>Inventory!G32</f>
        <v>3</v>
      </c>
      <c r="J33" s="21" t="str">
        <f>Inventory!H32</f>
        <v>turnovers/yr</v>
      </c>
      <c r="K33" s="131" t="e">
        <f>D33/$C$49*G33*I33/2000</f>
        <v>#VALUE!</v>
      </c>
      <c r="L33" s="25" t="s">
        <v>24</v>
      </c>
      <c r="M33" s="371"/>
      <c r="N33" s="371"/>
      <c r="O33" s="404">
        <v>0</v>
      </c>
      <c r="P33" s="25" t="s">
        <v>24</v>
      </c>
    </row>
    <row r="34" spans="1:20" ht="17.100000000000001" customHeight="1" thickBot="1" x14ac:dyDescent="0.25">
      <c r="B34" s="2"/>
      <c r="C34" s="2"/>
      <c r="D34" s="22"/>
      <c r="H34" s="70" t="s">
        <v>23</v>
      </c>
      <c r="I34" s="22"/>
      <c r="K34" s="132">
        <f>SUM(K27:K32)</f>
        <v>12.098327582197532</v>
      </c>
      <c r="L34" s="36" t="s">
        <v>24</v>
      </c>
      <c r="O34" s="132">
        <f>SUM(O27:O33)</f>
        <v>12.098327582197532</v>
      </c>
      <c r="P34" s="36" t="s">
        <v>24</v>
      </c>
    </row>
    <row r="35" spans="1:20" ht="16.5" customHeight="1" x14ac:dyDescent="0.2">
      <c r="A35" s="446" t="s">
        <v>25</v>
      </c>
      <c r="B35" s="35"/>
      <c r="C35" s="35"/>
      <c r="D35" s="35"/>
      <c r="E35" s="35"/>
      <c r="F35" s="35"/>
      <c r="G35" s="35"/>
      <c r="H35" s="35"/>
      <c r="I35" s="35"/>
      <c r="J35" s="35"/>
      <c r="K35" s="35"/>
      <c r="L35" s="35"/>
      <c r="M35" s="35"/>
      <c r="N35" s="35"/>
      <c r="O35" s="35"/>
      <c r="P35" s="35"/>
      <c r="Q35" s="35"/>
      <c r="R35" s="35"/>
      <c r="S35" s="35"/>
      <c r="T35" s="35"/>
    </row>
    <row r="36" spans="1:20" ht="16.5" customHeight="1" x14ac:dyDescent="0.25">
      <c r="A36" s="320">
        <v>1</v>
      </c>
      <c r="B36" s="35" t="s">
        <v>238</v>
      </c>
      <c r="C36" s="35"/>
      <c r="D36" s="35"/>
      <c r="E36" s="35"/>
      <c r="F36" s="35"/>
      <c r="G36" s="35"/>
      <c r="H36" s="35"/>
      <c r="I36" s="35"/>
      <c r="J36" s="35"/>
      <c r="K36" s="35"/>
      <c r="L36" s="35"/>
      <c r="M36" s="35"/>
      <c r="N36" s="35"/>
      <c r="O36" s="35"/>
      <c r="P36" s="35"/>
      <c r="Q36" s="35"/>
      <c r="R36" s="35"/>
      <c r="S36" s="35"/>
      <c r="T36" s="35"/>
    </row>
    <row r="37" spans="1:20" ht="16.5" customHeight="1" x14ac:dyDescent="0.25">
      <c r="A37" s="55"/>
      <c r="B37" s="35"/>
      <c r="C37" s="56" t="s">
        <v>235</v>
      </c>
      <c r="D37" s="35">
        <v>64.099999999999994</v>
      </c>
      <c r="E37" s="35" t="s">
        <v>155</v>
      </c>
      <c r="F37" s="35"/>
      <c r="G37" s="35"/>
      <c r="H37" s="35"/>
      <c r="I37" s="35"/>
      <c r="J37" s="35"/>
      <c r="K37" s="35"/>
      <c r="L37" s="35"/>
      <c r="M37" s="35"/>
      <c r="N37" s="35"/>
      <c r="O37" s="35"/>
      <c r="P37" s="35"/>
      <c r="Q37" s="35"/>
      <c r="R37" s="35"/>
      <c r="S37" s="35"/>
      <c r="T37" s="35"/>
    </row>
    <row r="38" spans="1:20" ht="16.5" customHeight="1" x14ac:dyDescent="0.2">
      <c r="A38" s="55"/>
      <c r="B38" s="35"/>
      <c r="C38" s="56" t="s">
        <v>195</v>
      </c>
      <c r="D38" s="318">
        <v>26820</v>
      </c>
      <c r="E38" s="35" t="s">
        <v>154</v>
      </c>
      <c r="F38" s="35"/>
      <c r="G38" s="35"/>
      <c r="H38" s="35"/>
      <c r="I38" s="35"/>
      <c r="J38" s="35"/>
      <c r="K38" s="35"/>
      <c r="L38" s="35"/>
      <c r="M38" s="35"/>
      <c r="N38" s="35"/>
      <c r="O38" s="35"/>
      <c r="P38" s="35"/>
      <c r="Q38" s="35"/>
      <c r="R38" s="35"/>
      <c r="S38" s="35"/>
      <c r="T38" s="35"/>
    </row>
    <row r="39" spans="1:20" ht="16.5" customHeight="1" x14ac:dyDescent="0.25">
      <c r="A39" s="55"/>
      <c r="B39" s="35"/>
      <c r="C39" s="56" t="s">
        <v>236</v>
      </c>
      <c r="D39" s="319">
        <f>+D38*D37*D40*60</f>
        <v>12.316076567999998</v>
      </c>
      <c r="E39" s="35" t="s">
        <v>9</v>
      </c>
      <c r="F39" s="35"/>
      <c r="G39" s="35"/>
      <c r="H39" s="35"/>
      <c r="I39" s="35"/>
      <c r="J39" s="35"/>
      <c r="K39" s="35"/>
      <c r="L39" s="35"/>
      <c r="M39" s="35"/>
      <c r="N39" s="35"/>
      <c r="O39" s="35"/>
      <c r="P39" s="35"/>
      <c r="Q39" s="35"/>
      <c r="R39" s="35"/>
      <c r="S39" s="35"/>
      <c r="T39" s="35"/>
    </row>
    <row r="40" spans="1:20" ht="16.5" customHeight="1" x14ac:dyDescent="0.2">
      <c r="A40" s="55"/>
      <c r="B40" s="35"/>
      <c r="C40" s="56" t="s">
        <v>239</v>
      </c>
      <c r="D40" s="321">
        <v>1.194E-7</v>
      </c>
      <c r="E40" s="35"/>
      <c r="F40" s="35"/>
      <c r="G40" s="35"/>
      <c r="H40" s="35"/>
      <c r="I40" s="35"/>
      <c r="J40" s="35"/>
      <c r="K40" s="35"/>
      <c r="L40" s="35"/>
      <c r="M40" s="35"/>
      <c r="N40" s="35"/>
      <c r="O40" s="35"/>
      <c r="P40" s="35"/>
      <c r="Q40" s="35"/>
      <c r="R40" s="35"/>
      <c r="S40" s="35"/>
      <c r="T40" s="35"/>
    </row>
    <row r="41" spans="1:20" ht="16.5" customHeight="1" x14ac:dyDescent="0.25">
      <c r="A41" s="320">
        <v>2</v>
      </c>
      <c r="B41" s="35" t="s">
        <v>240</v>
      </c>
      <c r="C41" s="35"/>
      <c r="D41" s="35"/>
      <c r="E41" s="35"/>
      <c r="F41" s="35"/>
      <c r="G41" s="35"/>
      <c r="H41" s="35"/>
      <c r="I41" s="35"/>
      <c r="J41" s="35"/>
      <c r="K41" s="35"/>
      <c r="L41" s="35"/>
      <c r="M41" s="35"/>
      <c r="N41" s="35"/>
      <c r="O41" s="35"/>
      <c r="P41" s="35"/>
      <c r="Q41" s="35"/>
      <c r="R41" s="35"/>
      <c r="S41" s="35"/>
      <c r="T41" s="35"/>
    </row>
    <row r="42" spans="1:20" ht="16.5" customHeight="1" x14ac:dyDescent="0.2">
      <c r="A42" s="320">
        <v>3</v>
      </c>
      <c r="B42" s="35" t="s">
        <v>241</v>
      </c>
      <c r="C42" s="35"/>
      <c r="D42" s="35"/>
      <c r="E42" s="35"/>
      <c r="F42" s="35"/>
      <c r="G42" s="35"/>
      <c r="H42" s="35"/>
      <c r="I42" s="35"/>
      <c r="J42" s="35"/>
      <c r="K42" s="35"/>
      <c r="L42" s="35"/>
      <c r="M42" s="35"/>
      <c r="N42" s="35"/>
      <c r="O42" s="35"/>
      <c r="P42" s="35"/>
      <c r="Q42" s="35"/>
      <c r="R42" s="35"/>
      <c r="S42" s="35"/>
      <c r="T42" s="35"/>
    </row>
    <row r="43" spans="1:20" ht="16.5" customHeight="1" x14ac:dyDescent="0.25">
      <c r="A43" s="320">
        <v>4</v>
      </c>
      <c r="B43" s="35" t="s">
        <v>237</v>
      </c>
      <c r="C43" s="35"/>
      <c r="D43" s="35"/>
      <c r="E43" s="35"/>
      <c r="F43" s="35"/>
      <c r="G43" s="35"/>
      <c r="H43" s="35"/>
      <c r="I43" s="35"/>
      <c r="J43" s="35"/>
      <c r="K43" s="35"/>
      <c r="L43" s="35"/>
      <c r="M43" s="35"/>
      <c r="N43" s="35"/>
      <c r="O43" s="35"/>
      <c r="P43" s="35"/>
      <c r="Q43" s="35"/>
      <c r="R43" s="35"/>
      <c r="S43" s="35"/>
      <c r="T43" s="35"/>
    </row>
    <row r="44" spans="1:20" ht="16.5" customHeight="1" x14ac:dyDescent="0.2">
      <c r="A44" s="446" t="s">
        <v>168</v>
      </c>
      <c r="B44" s="55"/>
      <c r="C44" s="55"/>
      <c r="D44" s="35"/>
      <c r="E44" s="35"/>
      <c r="F44" s="35"/>
      <c r="G44" s="35"/>
      <c r="H44" s="35"/>
      <c r="I44" s="35"/>
      <c r="J44" s="35"/>
      <c r="K44" s="35"/>
      <c r="L44" s="35"/>
      <c r="M44" s="35"/>
      <c r="N44" s="35"/>
      <c r="O44" s="35"/>
      <c r="P44" s="35"/>
      <c r="Q44" s="35"/>
      <c r="R44" s="35"/>
      <c r="S44" s="35"/>
      <c r="T44" s="35"/>
    </row>
    <row r="45" spans="1:20" ht="16.5" customHeight="1" x14ac:dyDescent="0.2">
      <c r="A45" s="35"/>
      <c r="B45" s="56" t="s">
        <v>101</v>
      </c>
      <c r="C45" s="84">
        <v>8960</v>
      </c>
      <c r="D45" s="34" t="s">
        <v>15</v>
      </c>
      <c r="E45" s="35"/>
      <c r="F45" s="35"/>
      <c r="G45" s="35"/>
      <c r="H45" s="35"/>
      <c r="I45" s="35"/>
      <c r="J45" s="35"/>
      <c r="K45" s="35"/>
      <c r="L45" s="35"/>
      <c r="M45" s="35"/>
      <c r="N45" s="35"/>
      <c r="O45" s="35"/>
      <c r="P45" s="35"/>
      <c r="Q45" s="35"/>
      <c r="R45" s="35"/>
      <c r="S45" s="35"/>
      <c r="T45" s="35"/>
    </row>
    <row r="46" spans="1:20" ht="16.5" customHeight="1" x14ac:dyDescent="0.2">
      <c r="A46" s="35"/>
      <c r="B46" s="56" t="s">
        <v>102</v>
      </c>
      <c r="C46" s="84">
        <v>11138</v>
      </c>
      <c r="D46" s="34" t="s">
        <v>15</v>
      </c>
      <c r="E46" s="35"/>
      <c r="F46" s="35"/>
      <c r="G46" s="35"/>
      <c r="H46" s="35"/>
      <c r="I46" s="35"/>
      <c r="J46" s="35"/>
      <c r="K46" s="35"/>
      <c r="L46" s="35"/>
      <c r="M46" s="35"/>
      <c r="N46" s="35"/>
      <c r="O46" s="35"/>
      <c r="P46" s="35"/>
      <c r="Q46" s="35"/>
      <c r="R46" s="35"/>
      <c r="S46" s="35"/>
      <c r="T46" s="35"/>
    </row>
    <row r="47" spans="1:20" ht="16.5" customHeight="1" x14ac:dyDescent="0.2">
      <c r="A47" s="35"/>
      <c r="B47" s="56" t="s">
        <v>103</v>
      </c>
      <c r="C47" s="84">
        <v>16122</v>
      </c>
      <c r="D47" s="34" t="s">
        <v>104</v>
      </c>
      <c r="E47" s="35"/>
      <c r="F47" s="35"/>
      <c r="G47" s="35"/>
      <c r="H47" s="35"/>
      <c r="I47" s="35"/>
      <c r="J47" s="35"/>
      <c r="K47" s="35"/>
      <c r="L47" s="35"/>
      <c r="M47" s="35"/>
      <c r="N47" s="35"/>
      <c r="O47" s="35"/>
      <c r="P47" s="35"/>
      <c r="Q47" s="35"/>
      <c r="R47" s="35"/>
      <c r="S47" s="35"/>
      <c r="T47" s="35"/>
    </row>
    <row r="48" spans="1:20" ht="16.5" customHeight="1" x14ac:dyDescent="0.2">
      <c r="A48" s="35"/>
      <c r="B48" s="56" t="s">
        <v>105</v>
      </c>
      <c r="C48" s="84">
        <v>11277</v>
      </c>
      <c r="D48" s="34" t="s">
        <v>15</v>
      </c>
      <c r="E48" s="319"/>
      <c r="F48" s="35"/>
      <c r="G48" s="35"/>
      <c r="H48" s="35"/>
      <c r="I48" s="35"/>
      <c r="J48" s="35"/>
      <c r="K48" s="35"/>
      <c r="L48" s="35"/>
      <c r="M48" s="35"/>
      <c r="N48" s="35"/>
      <c r="O48" s="35"/>
      <c r="P48" s="35"/>
      <c r="Q48" s="35"/>
      <c r="R48" s="35"/>
      <c r="S48" s="35"/>
      <c r="T48" s="35"/>
    </row>
    <row r="49" spans="1:20" ht="16.5" customHeight="1" x14ac:dyDescent="0.2">
      <c r="A49" s="35"/>
      <c r="B49" s="56" t="s">
        <v>13</v>
      </c>
      <c r="C49" s="84">
        <v>1017</v>
      </c>
      <c r="D49" s="34" t="s">
        <v>14</v>
      </c>
      <c r="E49" s="35"/>
      <c r="F49" s="35"/>
      <c r="G49" s="35"/>
      <c r="H49" s="35"/>
      <c r="I49" s="35"/>
      <c r="J49" s="35"/>
      <c r="K49" s="35"/>
      <c r="L49" s="35"/>
      <c r="M49" s="35"/>
      <c r="N49" s="35"/>
      <c r="O49" s="35"/>
      <c r="P49" s="35"/>
      <c r="Q49" s="35"/>
      <c r="R49" s="35"/>
      <c r="S49" s="35"/>
      <c r="T49" s="35"/>
    </row>
    <row r="50" spans="1:20" ht="16.5" customHeight="1" x14ac:dyDescent="0.2">
      <c r="A50" s="35"/>
      <c r="B50" s="56" t="s">
        <v>106</v>
      </c>
      <c r="C50" s="84">
        <v>33479</v>
      </c>
      <c r="D50" s="34" t="s">
        <v>107</v>
      </c>
      <c r="E50" s="35"/>
      <c r="F50" s="35"/>
      <c r="G50" s="35"/>
      <c r="H50" s="35"/>
      <c r="I50" s="35"/>
      <c r="J50" s="35"/>
      <c r="K50" s="35"/>
      <c r="L50" s="35"/>
      <c r="M50" s="35"/>
      <c r="N50" s="35"/>
      <c r="O50" s="35"/>
      <c r="P50" s="35"/>
      <c r="Q50" s="35"/>
      <c r="R50" s="35"/>
      <c r="S50" s="35"/>
      <c r="T50" s="35"/>
    </row>
    <row r="51" spans="1:20" ht="16.5" customHeight="1" x14ac:dyDescent="0.2">
      <c r="A51" s="35"/>
      <c r="B51" s="56" t="s">
        <v>11</v>
      </c>
      <c r="C51" s="84">
        <v>137000</v>
      </c>
      <c r="D51" s="34" t="s">
        <v>12</v>
      </c>
      <c r="E51" s="35"/>
      <c r="F51" s="35"/>
      <c r="G51" s="35"/>
      <c r="H51" s="35"/>
      <c r="I51" s="35"/>
      <c r="J51" s="35"/>
      <c r="K51" s="35"/>
      <c r="L51" s="35"/>
      <c r="M51" s="35"/>
      <c r="N51" s="35"/>
      <c r="O51" s="35"/>
      <c r="P51" s="35"/>
      <c r="Q51" s="35"/>
      <c r="R51" s="35"/>
      <c r="S51" s="35"/>
      <c r="T51" s="35"/>
    </row>
  </sheetData>
  <mergeCells count="44">
    <mergeCell ref="S13:S14"/>
    <mergeCell ref="T13:T14"/>
    <mergeCell ref="D15:D16"/>
    <mergeCell ref="E15:E16"/>
    <mergeCell ref="N13:N14"/>
    <mergeCell ref="O13:O14"/>
    <mergeCell ref="P13:P14"/>
    <mergeCell ref="Q13:Q14"/>
    <mergeCell ref="R13:R14"/>
    <mergeCell ref="I13:I14"/>
    <mergeCell ref="J13:J14"/>
    <mergeCell ref="K13:K14"/>
    <mergeCell ref="L13:L14"/>
    <mergeCell ref="M13:M14"/>
    <mergeCell ref="Q15:Q16"/>
    <mergeCell ref="R15:R16"/>
    <mergeCell ref="A1:T1"/>
    <mergeCell ref="A2:T2"/>
    <mergeCell ref="G4:H4"/>
    <mergeCell ref="G26:H26"/>
    <mergeCell ref="K26:L26"/>
    <mergeCell ref="D4:E4"/>
    <mergeCell ref="I4:J4"/>
    <mergeCell ref="K4:L4"/>
    <mergeCell ref="M4:N4"/>
    <mergeCell ref="O4:P4"/>
    <mergeCell ref="Q4:R4"/>
    <mergeCell ref="S4:T4"/>
    <mergeCell ref="K15:K16"/>
    <mergeCell ref="L15:L16"/>
    <mergeCell ref="A15:A16"/>
    <mergeCell ref="B15:B16"/>
    <mergeCell ref="D26:E26"/>
    <mergeCell ref="I26:J26"/>
    <mergeCell ref="A23:P23"/>
    <mergeCell ref="A24:P24"/>
    <mergeCell ref="C15:C16"/>
    <mergeCell ref="O15:O16"/>
    <mergeCell ref="P15:P16"/>
    <mergeCell ref="G33:H33"/>
    <mergeCell ref="O26:P26"/>
    <mergeCell ref="F13:F14"/>
    <mergeCell ref="G13:G14"/>
    <mergeCell ref="H13:H14"/>
  </mergeCells>
  <phoneticPr fontId="11" type="noConversion"/>
  <printOptions horizontalCentered="1"/>
  <pageMargins left="0.5" right="0.5" top="0.5" bottom="0.5" header="0.3" footer="0.3"/>
  <pageSetup scale="60" orientation="landscape" r:id="rId1"/>
  <headerFooter scaleWithDoc="0">
    <oddFooter>&amp;L&amp;"Arial,Regular"&amp;9Hilcorp Alaska, LLC
Grayling Platform
Title V Renewal Application&amp;C&amp;"Arial,Regular"&amp;9Page D-&amp;P&amp;R&amp;"Arial,Regular"&amp;9December 2022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7A438-70B7-40A9-B82C-A0DE2B0950DA}">
  <dimension ref="A1:T46"/>
  <sheetViews>
    <sheetView view="pageBreakPreview" zoomScaleNormal="100" zoomScaleSheetLayoutView="100" workbookViewId="0">
      <selection activeCell="A39" sqref="A39"/>
    </sheetView>
  </sheetViews>
  <sheetFormatPr defaultColWidth="9.140625" defaultRowHeight="12.75" x14ac:dyDescent="0.2"/>
  <cols>
    <col min="1" max="1" width="6.7109375" style="1" customWidth="1"/>
    <col min="2" max="2" width="30.7109375" style="1" customWidth="1"/>
    <col min="3" max="5" width="10.7109375" style="1" customWidth="1"/>
    <col min="6" max="6" width="25.7109375" style="1" customWidth="1"/>
    <col min="7" max="8" width="10.7109375" style="1" customWidth="1"/>
    <col min="9" max="14" width="10.7109375" style="1" hidden="1" customWidth="1"/>
    <col min="15" max="20" width="10.7109375" style="1" customWidth="1"/>
    <col min="21" max="16384" width="9.140625" style="1"/>
  </cols>
  <sheetData>
    <row r="1" spans="1:20" ht="17.100000000000001" customHeight="1" x14ac:dyDescent="0.2">
      <c r="A1" s="517" t="s">
        <v>213</v>
      </c>
      <c r="B1" s="517"/>
      <c r="C1" s="517"/>
      <c r="D1" s="517"/>
      <c r="E1" s="517"/>
      <c r="F1" s="517"/>
      <c r="G1" s="517"/>
      <c r="H1" s="517"/>
      <c r="I1" s="517"/>
      <c r="J1" s="517"/>
      <c r="K1" s="517"/>
      <c r="L1" s="517"/>
      <c r="M1" s="517"/>
      <c r="N1" s="517"/>
      <c r="O1" s="517"/>
      <c r="P1" s="517"/>
      <c r="Q1" s="517"/>
      <c r="R1" s="517"/>
      <c r="S1" s="517"/>
      <c r="T1" s="517"/>
    </row>
    <row r="2" spans="1:20" ht="17.100000000000001" customHeight="1" x14ac:dyDescent="0.2">
      <c r="A2" s="517" t="str">
        <f>Inventory!A2</f>
        <v>Hilcorp Alaska, LLC - Grayling Platform</v>
      </c>
      <c r="B2" s="517"/>
      <c r="C2" s="517"/>
      <c r="D2" s="517"/>
      <c r="E2" s="517"/>
      <c r="F2" s="517"/>
      <c r="G2" s="517"/>
      <c r="H2" s="517"/>
      <c r="I2" s="517"/>
      <c r="J2" s="517"/>
      <c r="K2" s="517"/>
      <c r="L2" s="517"/>
      <c r="M2" s="517"/>
      <c r="N2" s="517"/>
      <c r="O2" s="517"/>
      <c r="P2" s="517"/>
      <c r="Q2" s="517"/>
      <c r="R2" s="517"/>
      <c r="S2" s="517"/>
      <c r="T2" s="517"/>
    </row>
    <row r="3" spans="1:20" ht="17.100000000000001" customHeight="1" thickBot="1" x14ac:dyDescent="0.25"/>
    <row r="4" spans="1:20" s="31" customFormat="1" ht="30.95" customHeight="1" thickBot="1" x14ac:dyDescent="0.3">
      <c r="A4" s="30" t="s">
        <v>0</v>
      </c>
      <c r="B4" s="90" t="s">
        <v>205</v>
      </c>
      <c r="C4" s="90" t="s">
        <v>1</v>
      </c>
      <c r="D4" s="533" t="s">
        <v>2</v>
      </c>
      <c r="E4" s="533"/>
      <c r="F4" s="90" t="s">
        <v>16</v>
      </c>
      <c r="G4" s="559" t="s">
        <v>17</v>
      </c>
      <c r="H4" s="560"/>
      <c r="I4" s="525" t="s">
        <v>192</v>
      </c>
      <c r="J4" s="525"/>
      <c r="K4" s="525" t="s">
        <v>193</v>
      </c>
      <c r="L4" s="525"/>
      <c r="M4" s="525" t="s">
        <v>175</v>
      </c>
      <c r="N4" s="525"/>
      <c r="O4" s="548" t="s">
        <v>157</v>
      </c>
      <c r="P4" s="562"/>
      <c r="Q4" s="548" t="s">
        <v>120</v>
      </c>
      <c r="R4" s="561"/>
      <c r="S4" s="562" t="s">
        <v>160</v>
      </c>
      <c r="T4" s="549"/>
    </row>
    <row r="5" spans="1:20" ht="17.100000000000001" customHeight="1" thickTop="1" x14ac:dyDescent="0.2">
      <c r="A5" s="5">
        <f>Inventory!A5</f>
        <v>1</v>
      </c>
      <c r="B5" s="6" t="str">
        <f>Inventory!B5</f>
        <v>Solar Centaur T4500</v>
      </c>
      <c r="C5" s="6" t="str">
        <f>Inventory!D5</f>
        <v>Fuel Gas</v>
      </c>
      <c r="D5" s="19">
        <f>Inventory!E5</f>
        <v>4500</v>
      </c>
      <c r="E5" s="7" t="str">
        <f>Inventory!F5</f>
        <v>hp</v>
      </c>
      <c r="F5" s="6" t="s">
        <v>110</v>
      </c>
      <c r="G5" s="11">
        <v>1.5</v>
      </c>
      <c r="H5" s="12" t="s">
        <v>9</v>
      </c>
      <c r="I5" s="8">
        <f>Inventory!G5</f>
        <v>8760</v>
      </c>
      <c r="J5" s="9" t="str">
        <f>Inventory!H5</f>
        <v>hr/yr</v>
      </c>
      <c r="K5" s="8">
        <f>Inventory!I5</f>
        <v>8760</v>
      </c>
      <c r="L5" s="9" t="str">
        <f>Inventory!J5</f>
        <v>hr/yr</v>
      </c>
      <c r="M5" s="143">
        <f>Inventory!K5</f>
        <v>2985</v>
      </c>
      <c r="N5" s="9" t="str">
        <f>Inventory!L5</f>
        <v>hr/yr</v>
      </c>
      <c r="O5" s="114">
        <f t="shared" ref="O5:O12" si="0">$G5*I5/2000</f>
        <v>6.57</v>
      </c>
      <c r="P5" s="28" t="s">
        <v>24</v>
      </c>
      <c r="Q5" s="116">
        <f>+O5/I5*K5</f>
        <v>6.57</v>
      </c>
      <c r="R5" s="9" t="s">
        <v>24</v>
      </c>
      <c r="S5" s="116">
        <f>+Q5/K5*M5</f>
        <v>2.23875</v>
      </c>
      <c r="T5" s="26" t="s">
        <v>24</v>
      </c>
    </row>
    <row r="6" spans="1:20" ht="17.100000000000001" customHeight="1" x14ac:dyDescent="0.2">
      <c r="A6" s="5">
        <f>Inventory!A6</f>
        <v>3</v>
      </c>
      <c r="B6" s="6" t="str">
        <f>Inventory!B6</f>
        <v>Solar Centaur T4500</v>
      </c>
      <c r="C6" s="10" t="str">
        <f>Inventory!D6</f>
        <v>Fuel Gas</v>
      </c>
      <c r="D6" s="13">
        <f>Inventory!E6</f>
        <v>4500</v>
      </c>
      <c r="E6" s="12" t="str">
        <f>Inventory!F6</f>
        <v>hp</v>
      </c>
      <c r="F6" s="6" t="s">
        <v>110</v>
      </c>
      <c r="G6" s="11">
        <v>1.5</v>
      </c>
      <c r="H6" s="12" t="s">
        <v>9</v>
      </c>
      <c r="I6" s="8">
        <f>Inventory!G6</f>
        <v>8760</v>
      </c>
      <c r="J6" s="9" t="str">
        <f>Inventory!H6</f>
        <v>hr/yr</v>
      </c>
      <c r="K6" s="8">
        <f>Inventory!I6</f>
        <v>8760</v>
      </c>
      <c r="L6" s="9" t="str">
        <f>Inventory!J6</f>
        <v>hr/yr</v>
      </c>
      <c r="M6" s="143">
        <f>Inventory!K6</f>
        <v>2369</v>
      </c>
      <c r="N6" s="9" t="str">
        <f>Inventory!L6</f>
        <v>hr/yr</v>
      </c>
      <c r="O6" s="114">
        <f t="shared" si="0"/>
        <v>6.57</v>
      </c>
      <c r="P6" s="28" t="s">
        <v>24</v>
      </c>
      <c r="Q6" s="116">
        <f t="shared" ref="Q6" si="1">+O6/I6*K6</f>
        <v>6.57</v>
      </c>
      <c r="R6" s="9" t="s">
        <v>24</v>
      </c>
      <c r="S6" s="116">
        <f t="shared" ref="S6" si="2">+Q6/K6*M6</f>
        <v>1.7767500000000001</v>
      </c>
      <c r="T6" s="26" t="s">
        <v>24</v>
      </c>
    </row>
    <row r="7" spans="1:20" ht="17.100000000000001" customHeight="1" x14ac:dyDescent="0.2">
      <c r="A7" s="5" t="str">
        <f>Inventory!A7</f>
        <v>4a</v>
      </c>
      <c r="B7" s="6" t="str">
        <f>Inventory!B7</f>
        <v>Solar Centaur T4500</v>
      </c>
      <c r="C7" s="10" t="str">
        <f>Inventory!D7</f>
        <v>Fuel Gas</v>
      </c>
      <c r="D7" s="13">
        <f>Inventory!E7</f>
        <v>4500</v>
      </c>
      <c r="E7" s="12" t="str">
        <f>Inventory!F7</f>
        <v>hp</v>
      </c>
      <c r="F7" s="6" t="s">
        <v>110</v>
      </c>
      <c r="G7" s="11">
        <v>1.5</v>
      </c>
      <c r="H7" s="12" t="s">
        <v>9</v>
      </c>
      <c r="I7" s="8">
        <f>Inventory!G7</f>
        <v>8760</v>
      </c>
      <c r="J7" s="9" t="str">
        <f>Inventory!H7</f>
        <v>hr/yr</v>
      </c>
      <c r="K7" s="8">
        <f>Inventory!I7</f>
        <v>8760</v>
      </c>
      <c r="L7" s="9" t="str">
        <f>Inventory!J7</f>
        <v>hr/yr</v>
      </c>
      <c r="M7" s="143">
        <f>Inventory!K7</f>
        <v>8562</v>
      </c>
      <c r="N7" s="9" t="str">
        <f>Inventory!L7</f>
        <v>hr/yr</v>
      </c>
      <c r="O7" s="114">
        <f t="shared" si="0"/>
        <v>6.57</v>
      </c>
      <c r="P7" s="28" t="s">
        <v>24</v>
      </c>
      <c r="Q7" s="116">
        <f t="shared" ref="Q7:Q20" si="3">+O7/I7*K7</f>
        <v>6.57</v>
      </c>
      <c r="R7" s="9" t="s">
        <v>24</v>
      </c>
      <c r="S7" s="116">
        <f t="shared" ref="S7:S20" si="4">+Q7/K7*M7</f>
        <v>6.4215</v>
      </c>
      <c r="T7" s="26" t="s">
        <v>24</v>
      </c>
    </row>
    <row r="8" spans="1:20" ht="17.100000000000001" customHeight="1" x14ac:dyDescent="0.2">
      <c r="A8" s="5">
        <f>Inventory!A8</f>
        <v>14</v>
      </c>
      <c r="B8" s="6" t="str">
        <f>Inventory!B8</f>
        <v>Solar Saturn T1200</v>
      </c>
      <c r="C8" s="10" t="str">
        <f>Inventory!D8</f>
        <v>Fuel Gas</v>
      </c>
      <c r="D8" s="13">
        <f>Inventory!E8</f>
        <v>1100</v>
      </c>
      <c r="E8" s="12" t="str">
        <f>Inventory!F8</f>
        <v>hp</v>
      </c>
      <c r="F8" s="50" t="s">
        <v>110</v>
      </c>
      <c r="G8" s="4">
        <v>2.4500000000000002</v>
      </c>
      <c r="H8" s="3" t="s">
        <v>9</v>
      </c>
      <c r="I8" s="8">
        <f>Inventory!G8</f>
        <v>8760</v>
      </c>
      <c r="J8" s="9" t="str">
        <f>Inventory!H8</f>
        <v>hr/yr</v>
      </c>
      <c r="K8" s="8">
        <f>Inventory!I8</f>
        <v>8760</v>
      </c>
      <c r="L8" s="9" t="str">
        <f>Inventory!J8</f>
        <v>hr/yr</v>
      </c>
      <c r="M8" s="8">
        <f>Inventory!K8</f>
        <v>0</v>
      </c>
      <c r="N8" s="9" t="str">
        <f>Inventory!L8</f>
        <v>hr/yr</v>
      </c>
      <c r="O8" s="114">
        <f t="shared" si="0"/>
        <v>10.731</v>
      </c>
      <c r="P8" s="28" t="s">
        <v>24</v>
      </c>
      <c r="Q8" s="116">
        <f t="shared" si="3"/>
        <v>10.731</v>
      </c>
      <c r="R8" s="9" t="s">
        <v>24</v>
      </c>
      <c r="S8" s="127">
        <f t="shared" si="4"/>
        <v>0</v>
      </c>
      <c r="T8" s="26" t="s">
        <v>24</v>
      </c>
    </row>
    <row r="9" spans="1:20" ht="17.100000000000001" customHeight="1" x14ac:dyDescent="0.2">
      <c r="A9" s="5">
        <f>Inventory!A9</f>
        <v>15</v>
      </c>
      <c r="B9" s="6" t="str">
        <f>Inventory!B9</f>
        <v>Solar Saturn T1200</v>
      </c>
      <c r="C9" s="10" t="str">
        <f>Inventory!D9</f>
        <v>Fuel Gas</v>
      </c>
      <c r="D9" s="11">
        <f>Inventory!E9</f>
        <v>800</v>
      </c>
      <c r="E9" s="12" t="str">
        <f>Inventory!F9</f>
        <v>kW</v>
      </c>
      <c r="F9" s="50" t="s">
        <v>110</v>
      </c>
      <c r="G9" s="4">
        <v>2.39</v>
      </c>
      <c r="H9" s="3" t="s">
        <v>9</v>
      </c>
      <c r="I9" s="8">
        <f>Inventory!G9</f>
        <v>8760</v>
      </c>
      <c r="J9" s="9" t="str">
        <f>Inventory!H9</f>
        <v>hr/yr</v>
      </c>
      <c r="K9" s="8">
        <f>Inventory!I9</f>
        <v>8760</v>
      </c>
      <c r="L9" s="9" t="str">
        <f>Inventory!J9</f>
        <v>hr/yr</v>
      </c>
      <c r="M9" s="143">
        <f>Inventory!K9</f>
        <v>1599</v>
      </c>
      <c r="N9" s="9" t="str">
        <f>Inventory!L9</f>
        <v>hr/yr</v>
      </c>
      <c r="O9" s="114">
        <f t="shared" si="0"/>
        <v>10.468200000000001</v>
      </c>
      <c r="P9" s="28" t="s">
        <v>24</v>
      </c>
      <c r="Q9" s="116">
        <f t="shared" si="3"/>
        <v>10.468200000000001</v>
      </c>
      <c r="R9" s="9" t="s">
        <v>24</v>
      </c>
      <c r="S9" s="116">
        <f t="shared" si="4"/>
        <v>1.9108050000000001</v>
      </c>
      <c r="T9" s="26" t="s">
        <v>24</v>
      </c>
    </row>
    <row r="10" spans="1:20" ht="17.100000000000001" customHeight="1" x14ac:dyDescent="0.2">
      <c r="A10" s="5">
        <f>Inventory!A10</f>
        <v>16</v>
      </c>
      <c r="B10" s="6" t="str">
        <f>Inventory!B10</f>
        <v>Solar Saturn T1200</v>
      </c>
      <c r="C10" s="10" t="str">
        <f>Inventory!D10</f>
        <v>Fuel Gas</v>
      </c>
      <c r="D10" s="11">
        <f>Inventory!E10</f>
        <v>750</v>
      </c>
      <c r="E10" s="12" t="str">
        <f>Inventory!F10</f>
        <v>kW</v>
      </c>
      <c r="F10" s="50" t="s">
        <v>110</v>
      </c>
      <c r="G10" s="4">
        <v>2.39</v>
      </c>
      <c r="H10" s="3" t="s">
        <v>9</v>
      </c>
      <c r="I10" s="8">
        <f>Inventory!G10</f>
        <v>8760</v>
      </c>
      <c r="J10" s="9" t="str">
        <f>Inventory!H10</f>
        <v>hr/yr</v>
      </c>
      <c r="K10" s="8">
        <f>Inventory!I10</f>
        <v>8760</v>
      </c>
      <c r="L10" s="9" t="str">
        <f>Inventory!J10</f>
        <v>hr/yr</v>
      </c>
      <c r="M10" s="143">
        <f>Inventory!K10</f>
        <v>1868</v>
      </c>
      <c r="N10" s="9" t="str">
        <f>Inventory!L10</f>
        <v>hr/yr</v>
      </c>
      <c r="O10" s="114">
        <f t="shared" si="0"/>
        <v>10.468200000000001</v>
      </c>
      <c r="P10" s="28" t="s">
        <v>24</v>
      </c>
      <c r="Q10" s="116">
        <f t="shared" si="3"/>
        <v>10.468200000000001</v>
      </c>
      <c r="R10" s="9" t="s">
        <v>24</v>
      </c>
      <c r="S10" s="116">
        <f t="shared" si="4"/>
        <v>2.2322600000000001</v>
      </c>
      <c r="T10" s="26" t="s">
        <v>24</v>
      </c>
    </row>
    <row r="11" spans="1:20" ht="17.100000000000001" customHeight="1" x14ac:dyDescent="0.2">
      <c r="A11" s="5">
        <f>Inventory!A11</f>
        <v>17</v>
      </c>
      <c r="B11" s="6" t="str">
        <f>Inventory!B11</f>
        <v>Solar Saturn T1200</v>
      </c>
      <c r="C11" s="10" t="str">
        <f>Inventory!D11</f>
        <v>Fuel Gas</v>
      </c>
      <c r="D11" s="11">
        <f>Inventory!E11</f>
        <v>800</v>
      </c>
      <c r="E11" s="12" t="str">
        <f>Inventory!F11</f>
        <v>kW</v>
      </c>
      <c r="F11" s="50" t="s">
        <v>110</v>
      </c>
      <c r="G11" s="4">
        <v>2.2400000000000002</v>
      </c>
      <c r="H11" s="3" t="s">
        <v>9</v>
      </c>
      <c r="I11" s="8">
        <f>Inventory!G11</f>
        <v>8760</v>
      </c>
      <c r="J11" s="9" t="str">
        <f>Inventory!H11</f>
        <v>hr/yr</v>
      </c>
      <c r="K11" s="8">
        <f>Inventory!I11</f>
        <v>8760</v>
      </c>
      <c r="L11" s="9" t="str">
        <f>Inventory!J11</f>
        <v>hr/yr</v>
      </c>
      <c r="M11" s="143">
        <f>Inventory!K11</f>
        <v>1384</v>
      </c>
      <c r="N11" s="9" t="str">
        <f>Inventory!L11</f>
        <v>hr/yr</v>
      </c>
      <c r="O11" s="114">
        <f t="shared" si="0"/>
        <v>9.8112000000000013</v>
      </c>
      <c r="P11" s="28" t="s">
        <v>24</v>
      </c>
      <c r="Q11" s="116">
        <f t="shared" si="3"/>
        <v>9.8112000000000013</v>
      </c>
      <c r="R11" s="9" t="s">
        <v>24</v>
      </c>
      <c r="S11" s="116">
        <f t="shared" si="4"/>
        <v>1.5500800000000001</v>
      </c>
      <c r="T11" s="26" t="s">
        <v>24</v>
      </c>
    </row>
    <row r="12" spans="1:20" ht="17.100000000000001" customHeight="1" x14ac:dyDescent="0.2">
      <c r="A12" s="5">
        <f>Inventory!A12</f>
        <v>18</v>
      </c>
      <c r="B12" s="6" t="str">
        <f>Inventory!B12</f>
        <v>Solar Saturn T1200</v>
      </c>
      <c r="C12" s="10" t="str">
        <f>Inventory!D12</f>
        <v>Fuel Gas</v>
      </c>
      <c r="D12" s="11">
        <f>Inventory!E12</f>
        <v>800</v>
      </c>
      <c r="E12" s="12" t="str">
        <f>Inventory!F12</f>
        <v>kW</v>
      </c>
      <c r="F12" s="50" t="s">
        <v>110</v>
      </c>
      <c r="G12" s="4">
        <v>2.39</v>
      </c>
      <c r="H12" s="3" t="s">
        <v>9</v>
      </c>
      <c r="I12" s="8">
        <f>Inventory!G12</f>
        <v>8760</v>
      </c>
      <c r="J12" s="9" t="str">
        <f>Inventory!H12</f>
        <v>hr/yr</v>
      </c>
      <c r="K12" s="8">
        <f>Inventory!I12</f>
        <v>8760</v>
      </c>
      <c r="L12" s="9" t="str">
        <f>Inventory!J12</f>
        <v>hr/yr</v>
      </c>
      <c r="M12" s="143">
        <f>Inventory!K12</f>
        <v>1380</v>
      </c>
      <c r="N12" s="9" t="str">
        <f>Inventory!L12</f>
        <v>hr/yr</v>
      </c>
      <c r="O12" s="114">
        <f t="shared" si="0"/>
        <v>10.468200000000001</v>
      </c>
      <c r="P12" s="28" t="s">
        <v>24</v>
      </c>
      <c r="Q12" s="116">
        <f t="shared" si="3"/>
        <v>10.468200000000001</v>
      </c>
      <c r="R12" s="9" t="s">
        <v>24</v>
      </c>
      <c r="S12" s="116">
        <f t="shared" si="4"/>
        <v>1.6491000000000002</v>
      </c>
      <c r="T12" s="26" t="s">
        <v>24</v>
      </c>
    </row>
    <row r="13" spans="1:20" ht="37.5" customHeight="1" x14ac:dyDescent="0.2">
      <c r="A13" s="123">
        <f>Inventory!A17</f>
        <v>28</v>
      </c>
      <c r="B13" s="125" t="str">
        <f>Inventory!B17</f>
        <v>Flare (South)</v>
      </c>
      <c r="C13" s="365" t="str">
        <f>Inventory!D17</f>
        <v>Fuel Gas</v>
      </c>
      <c r="D13" s="444">
        <f>Inventory!E17</f>
        <v>0.12</v>
      </c>
      <c r="E13" s="445" t="str">
        <f>Inventory!F17</f>
        <v>MMscf/day, pilot/purge combined</v>
      </c>
      <c r="F13" s="531" t="s">
        <v>109</v>
      </c>
      <c r="G13" s="551">
        <v>0.31</v>
      </c>
      <c r="H13" s="553" t="s">
        <v>20</v>
      </c>
      <c r="I13" s="581">
        <f>Inventory!G17</f>
        <v>193.762</v>
      </c>
      <c r="J13" s="575" t="str">
        <f>Inventory!H17</f>
        <v>MMscf/yr, combined 6</v>
      </c>
      <c r="K13" s="563">
        <f>Inventory!I17</f>
        <v>14.12</v>
      </c>
      <c r="L13" s="575" t="str">
        <f>Inventory!J17</f>
        <v>MMscf/day, each</v>
      </c>
      <c r="M13" s="573">
        <f>Inventory!K17</f>
        <v>49829</v>
      </c>
      <c r="N13" s="575" t="str">
        <f>Inventory!L17</f>
        <v>Mscf/yr,  combined</v>
      </c>
      <c r="O13" s="577">
        <f>I13*C44*G13/2000</f>
        <v>30.543672869999998</v>
      </c>
      <c r="P13" s="579" t="s">
        <v>24</v>
      </c>
      <c r="Q13" s="573">
        <f>K13*C44*365*G13/2000*2</f>
        <v>1624.8385259999998</v>
      </c>
      <c r="R13" s="553" t="s">
        <v>24</v>
      </c>
      <c r="S13" s="569">
        <f>M13/1000*C44*G13/2000</f>
        <v>7.8547944150000006</v>
      </c>
      <c r="T13" s="571" t="s">
        <v>24</v>
      </c>
    </row>
    <row r="14" spans="1:20" ht="37.5" customHeight="1" x14ac:dyDescent="0.2">
      <c r="A14" s="123">
        <f>Inventory!A18</f>
        <v>29</v>
      </c>
      <c r="B14" s="125" t="str">
        <f>Inventory!B18</f>
        <v>Flare (SW)</v>
      </c>
      <c r="C14" s="365" t="str">
        <f>Inventory!D18</f>
        <v>Fuel Gas</v>
      </c>
      <c r="D14" s="188">
        <f>Inventory!E18</f>
        <v>14</v>
      </c>
      <c r="E14" s="367" t="str">
        <f>Inventory!F18</f>
        <v>MMscf/day, emergency each</v>
      </c>
      <c r="F14" s="550"/>
      <c r="G14" s="552"/>
      <c r="H14" s="554"/>
      <c r="I14" s="582"/>
      <c r="J14" s="576"/>
      <c r="K14" s="564"/>
      <c r="L14" s="576"/>
      <c r="M14" s="574"/>
      <c r="N14" s="576"/>
      <c r="O14" s="578"/>
      <c r="P14" s="580"/>
      <c r="Q14" s="574"/>
      <c r="R14" s="554" t="s">
        <v>24</v>
      </c>
      <c r="S14" s="570"/>
      <c r="T14" s="572" t="s">
        <v>24</v>
      </c>
    </row>
    <row r="15" spans="1:20" ht="17.100000000000001" customHeight="1" x14ac:dyDescent="0.2">
      <c r="A15" s="565">
        <f>Inventory!A19</f>
        <v>31</v>
      </c>
      <c r="B15" s="567" t="str">
        <f>Inventory!B19</f>
        <v>Solar Taurus 60 T-7300S</v>
      </c>
      <c r="C15" s="555" t="str">
        <f>Inventory!D19</f>
        <v>Fuel Gas</v>
      </c>
      <c r="D15" s="573">
        <f>Inventory!E19</f>
        <v>5.2</v>
      </c>
      <c r="E15" s="553" t="str">
        <f>Inventory!F19</f>
        <v>MW</v>
      </c>
      <c r="F15" s="6" t="s">
        <v>167</v>
      </c>
      <c r="G15" s="87">
        <v>8.1999999999999993</v>
      </c>
      <c r="H15" s="3" t="s">
        <v>9</v>
      </c>
      <c r="I15" s="80">
        <f>Inventory!G19</f>
        <v>8380</v>
      </c>
      <c r="J15" s="78" t="str">
        <f>Inventory!H19</f>
        <v>hr/yr</v>
      </c>
      <c r="K15" s="563">
        <f>Inventory!I19</f>
        <v>8760</v>
      </c>
      <c r="L15" s="553" t="str">
        <f>Inventory!J19</f>
        <v>hr/yr</v>
      </c>
      <c r="M15" s="144">
        <f>Inventory!K19</f>
        <v>7324.4</v>
      </c>
      <c r="N15" s="78" t="str">
        <f>Inventory!L19</f>
        <v>hr/yr</v>
      </c>
      <c r="O15" s="577">
        <v>99.4</v>
      </c>
      <c r="P15" s="553" t="s">
        <v>24</v>
      </c>
      <c r="Q15" s="573">
        <f>G16*K15/2000</f>
        <v>1498.3979999999999</v>
      </c>
      <c r="R15" s="553" t="s">
        <v>24</v>
      </c>
      <c r="S15" s="133">
        <f>G15*M15/2000</f>
        <v>30.030039999999996</v>
      </c>
      <c r="T15" s="79" t="s">
        <v>24</v>
      </c>
    </row>
    <row r="16" spans="1:20" ht="17.100000000000001" customHeight="1" x14ac:dyDescent="0.2">
      <c r="A16" s="566"/>
      <c r="B16" s="568"/>
      <c r="C16" s="556"/>
      <c r="D16" s="574">
        <f>Inventory!E20</f>
        <v>0</v>
      </c>
      <c r="E16" s="554">
        <f>Inventory!F20</f>
        <v>0</v>
      </c>
      <c r="F16" s="6" t="s">
        <v>167</v>
      </c>
      <c r="G16" s="421">
        <v>342.1</v>
      </c>
      <c r="H16" s="422" t="s">
        <v>9</v>
      </c>
      <c r="I16" s="8">
        <f>Inventory!G20</f>
        <v>380</v>
      </c>
      <c r="J16" s="28" t="s">
        <v>5</v>
      </c>
      <c r="K16" s="564">
        <f>Inventory!I20</f>
        <v>0</v>
      </c>
      <c r="L16" s="554">
        <f>Inventory!J20</f>
        <v>0</v>
      </c>
      <c r="M16" s="143">
        <f>Inventory!K20</f>
        <v>32.600000000000364</v>
      </c>
      <c r="N16" s="28" t="str">
        <f>Inventory!L20</f>
        <v>hr/yr</v>
      </c>
      <c r="O16" s="578"/>
      <c r="P16" s="554"/>
      <c r="Q16" s="574"/>
      <c r="R16" s="554"/>
      <c r="S16" s="116">
        <f>G16*M16/2000</f>
        <v>5.576230000000062</v>
      </c>
      <c r="T16" s="26" t="s">
        <v>24</v>
      </c>
    </row>
    <row r="17" spans="1:20" ht="17.100000000000001" customHeight="1" x14ac:dyDescent="0.2">
      <c r="A17" s="74">
        <f>Inventory!A13</f>
        <v>24</v>
      </c>
      <c r="B17" s="32" t="str">
        <f>Inventory!B13</f>
        <v>Caterpillar 3406</v>
      </c>
      <c r="C17" s="322" t="str">
        <f>Inventory!D13</f>
        <v>Diesel</v>
      </c>
      <c r="D17" s="424">
        <f>Inventory!E13</f>
        <v>340</v>
      </c>
      <c r="E17" s="3" t="str">
        <f>Inventory!F13</f>
        <v>hp</v>
      </c>
      <c r="F17" s="50" t="s">
        <v>108</v>
      </c>
      <c r="G17" s="4">
        <v>6.6800000000000002E-3</v>
      </c>
      <c r="H17" s="3" t="s">
        <v>169</v>
      </c>
      <c r="I17" s="188">
        <f>Inventory!G13</f>
        <v>3000</v>
      </c>
      <c r="J17" s="14" t="s">
        <v>5</v>
      </c>
      <c r="K17" s="188">
        <f>Inventory!I13</f>
        <v>8760</v>
      </c>
      <c r="L17" s="14" t="str">
        <f>Inventory!J13</f>
        <v>hr/yr</v>
      </c>
      <c r="M17" s="429">
        <f>Inventory!K13</f>
        <v>154</v>
      </c>
      <c r="N17" s="14" t="str">
        <f>Inventory!L13</f>
        <v>hr/yr</v>
      </c>
      <c r="O17" s="425">
        <f>$D17*$G17*I17/2000</f>
        <v>3.4067999999999996</v>
      </c>
      <c r="P17" s="29" t="s">
        <v>24</v>
      </c>
      <c r="Q17" s="426">
        <f t="shared" si="3"/>
        <v>9.947855999999998</v>
      </c>
      <c r="R17" s="14" t="s">
        <v>24</v>
      </c>
      <c r="S17" s="426">
        <f t="shared" si="4"/>
        <v>0.17488239999999997</v>
      </c>
      <c r="T17" s="27" t="s">
        <v>24</v>
      </c>
    </row>
    <row r="18" spans="1:20" ht="17.100000000000001" customHeight="1" x14ac:dyDescent="0.2">
      <c r="A18" s="5">
        <f>Inventory!A14</f>
        <v>25</v>
      </c>
      <c r="B18" s="6" t="str">
        <f>Inventory!B14</f>
        <v>Caterpillar 3208</v>
      </c>
      <c r="C18" s="10" t="str">
        <f>Inventory!D14</f>
        <v>Diesel</v>
      </c>
      <c r="D18" s="13">
        <f>Inventory!E14</f>
        <v>250</v>
      </c>
      <c r="E18" s="12" t="str">
        <f>Inventory!F14</f>
        <v>hp</v>
      </c>
      <c r="F18" s="50" t="s">
        <v>108</v>
      </c>
      <c r="G18" s="4">
        <v>6.6800000000000002E-3</v>
      </c>
      <c r="H18" s="3" t="s">
        <v>169</v>
      </c>
      <c r="I18" s="8">
        <f>Inventory!G14</f>
        <v>3000</v>
      </c>
      <c r="J18" s="9" t="s">
        <v>5</v>
      </c>
      <c r="K18" s="8">
        <f>Inventory!I14</f>
        <v>8760</v>
      </c>
      <c r="L18" s="9" t="str">
        <f>Inventory!J14</f>
        <v>hr/yr</v>
      </c>
      <c r="M18" s="143">
        <f>Inventory!K14</f>
        <v>510</v>
      </c>
      <c r="N18" s="9" t="str">
        <f>Inventory!L14</f>
        <v>hr/yr</v>
      </c>
      <c r="O18" s="114">
        <f>$D18*$G18*I18/2000</f>
        <v>2.5049999999999999</v>
      </c>
      <c r="P18" s="28" t="s">
        <v>24</v>
      </c>
      <c r="Q18" s="116">
        <f t="shared" si="3"/>
        <v>7.3145999999999995</v>
      </c>
      <c r="R18" s="9" t="s">
        <v>24</v>
      </c>
      <c r="S18" s="116">
        <f t="shared" si="4"/>
        <v>0.42584999999999995</v>
      </c>
      <c r="T18" s="26" t="s">
        <v>24</v>
      </c>
    </row>
    <row r="19" spans="1:20" ht="17.100000000000001" customHeight="1" x14ac:dyDescent="0.2">
      <c r="A19" s="5" t="str">
        <f>Inventory!A15</f>
        <v>26a</v>
      </c>
      <c r="B19" s="6" t="str">
        <f>Inventory!B15</f>
        <v>Detroit Diesel Series 60 6063HV35</v>
      </c>
      <c r="C19" s="10" t="str">
        <f>Inventory!D15</f>
        <v>Diesel</v>
      </c>
      <c r="D19" s="13">
        <f>Inventory!E15</f>
        <v>685</v>
      </c>
      <c r="E19" s="12" t="str">
        <f>Inventory!F15</f>
        <v>hp</v>
      </c>
      <c r="F19" s="50" t="s">
        <v>164</v>
      </c>
      <c r="G19" s="4">
        <f>3.5*1.25</f>
        <v>4.375</v>
      </c>
      <c r="H19" s="3" t="s">
        <v>196</v>
      </c>
      <c r="I19" s="8">
        <f>Inventory!G15</f>
        <v>500</v>
      </c>
      <c r="J19" s="9" t="s">
        <v>5</v>
      </c>
      <c r="K19" s="8">
        <f>Inventory!I15</f>
        <v>8760</v>
      </c>
      <c r="L19" s="14" t="str">
        <f>Inventory!J15</f>
        <v>hr/yr</v>
      </c>
      <c r="M19" s="143">
        <f>Inventory!K15</f>
        <v>1</v>
      </c>
      <c r="N19" s="14" t="str">
        <f>Inventory!L15</f>
        <v>hr/yr</v>
      </c>
      <c r="O19" s="114">
        <f>+D19/1.341*G19/453.592*I19/2000</f>
        <v>1.2317270337878929</v>
      </c>
      <c r="P19" s="29" t="s">
        <v>24</v>
      </c>
      <c r="Q19" s="116">
        <f t="shared" si="3"/>
        <v>21.579857631963886</v>
      </c>
      <c r="R19" s="9" t="s">
        <v>24</v>
      </c>
      <c r="S19" s="128">
        <f t="shared" si="4"/>
        <v>2.463454067575786E-3</v>
      </c>
      <c r="T19" s="26" t="s">
        <v>24</v>
      </c>
    </row>
    <row r="20" spans="1:20" ht="17.100000000000001" customHeight="1" thickBot="1" x14ac:dyDescent="0.25">
      <c r="A20" s="15">
        <f>Inventory!A16</f>
        <v>27</v>
      </c>
      <c r="B20" s="16" t="str">
        <f>Inventory!B16</f>
        <v>Caterpillar D-330C</v>
      </c>
      <c r="C20" s="403" t="str">
        <f>Inventory!D16</f>
        <v>Diesel</v>
      </c>
      <c r="D20" s="409">
        <f>Inventory!E16</f>
        <v>85</v>
      </c>
      <c r="E20" s="17" t="str">
        <f>Inventory!F16</f>
        <v>hp</v>
      </c>
      <c r="F20" s="430" t="s">
        <v>108</v>
      </c>
      <c r="G20" s="75">
        <v>6.6800000000000002E-3</v>
      </c>
      <c r="H20" s="17" t="s">
        <v>169</v>
      </c>
      <c r="I20" s="81">
        <f>Inventory!G16</f>
        <v>3000</v>
      </c>
      <c r="J20" s="91" t="s">
        <v>5</v>
      </c>
      <c r="K20" s="81">
        <f>Inventory!I16</f>
        <v>8760</v>
      </c>
      <c r="L20" s="91" t="str">
        <f>Inventory!J16</f>
        <v>hr/yr</v>
      </c>
      <c r="M20" s="142">
        <f>Inventory!K16</f>
        <v>19.5</v>
      </c>
      <c r="N20" s="91" t="str">
        <f>Inventory!L16</f>
        <v>hr/yr</v>
      </c>
      <c r="O20" s="137">
        <f>$D20*$G20*I20/2000</f>
        <v>0.8516999999999999</v>
      </c>
      <c r="P20" s="82" t="s">
        <v>24</v>
      </c>
      <c r="Q20" s="134">
        <f t="shared" si="3"/>
        <v>2.4869639999999995</v>
      </c>
      <c r="R20" s="91" t="s">
        <v>24</v>
      </c>
      <c r="S20" s="140">
        <f t="shared" si="4"/>
        <v>5.536049999999999E-3</v>
      </c>
      <c r="T20" s="83" t="s">
        <v>24</v>
      </c>
    </row>
    <row r="21" spans="1:20" ht="17.100000000000001" customHeight="1" thickBot="1" x14ac:dyDescent="0.25">
      <c r="H21" s="70" t="s">
        <v>23</v>
      </c>
      <c r="J21" s="33"/>
      <c r="O21" s="115">
        <f>SUM(O5:O20)</f>
        <v>209.5956999037879</v>
      </c>
      <c r="P21" s="36" t="s">
        <v>24</v>
      </c>
      <c r="Q21" s="132">
        <f>SUM(Q5:Q20)</f>
        <v>3236.2226036319635</v>
      </c>
      <c r="R21" s="36" t="s">
        <v>24</v>
      </c>
      <c r="S21" s="115">
        <f>SUM(S5:S20)</f>
        <v>61.849041319067638</v>
      </c>
      <c r="T21" s="36" t="s">
        <v>24</v>
      </c>
    </row>
    <row r="22" spans="1:20" ht="17.100000000000001" customHeight="1" x14ac:dyDescent="0.2"/>
    <row r="23" spans="1:20" ht="17.100000000000001" customHeight="1" x14ac:dyDescent="0.2">
      <c r="A23" s="517" t="s">
        <v>214</v>
      </c>
      <c r="B23" s="517"/>
      <c r="C23" s="517"/>
      <c r="D23" s="517"/>
      <c r="E23" s="517"/>
      <c r="F23" s="517"/>
      <c r="G23" s="517"/>
      <c r="H23" s="517"/>
      <c r="I23" s="517"/>
      <c r="J23" s="517"/>
      <c r="K23" s="517"/>
      <c r="L23" s="517"/>
      <c r="M23" s="517"/>
      <c r="N23" s="517"/>
      <c r="O23" s="517"/>
      <c r="P23" s="517"/>
    </row>
    <row r="24" spans="1:20" ht="17.100000000000001" customHeight="1" x14ac:dyDescent="0.2">
      <c r="A24" s="517" t="str">
        <f>A2</f>
        <v>Hilcorp Alaska, LLC - Grayling Platform</v>
      </c>
      <c r="B24" s="517"/>
      <c r="C24" s="517"/>
      <c r="D24" s="517"/>
      <c r="E24" s="517"/>
      <c r="F24" s="517"/>
      <c r="G24" s="517"/>
      <c r="H24" s="517"/>
      <c r="I24" s="517"/>
      <c r="J24" s="517"/>
      <c r="K24" s="517"/>
      <c r="L24" s="517"/>
      <c r="M24" s="517"/>
      <c r="N24" s="517"/>
      <c r="O24" s="517"/>
      <c r="P24" s="517"/>
    </row>
    <row r="25" spans="1:20" ht="17.100000000000001" customHeight="1" thickBot="1" x14ac:dyDescent="0.25"/>
    <row r="26" spans="1:20" ht="30.95" customHeight="1" thickBot="1" x14ac:dyDescent="0.25">
      <c r="A26" s="104" t="s">
        <v>0</v>
      </c>
      <c r="B26" s="393" t="s">
        <v>205</v>
      </c>
      <c r="C26" s="393" t="s">
        <v>1</v>
      </c>
      <c r="D26" s="525" t="s">
        <v>2</v>
      </c>
      <c r="E26" s="525"/>
      <c r="F26" s="395" t="s">
        <v>16</v>
      </c>
      <c r="G26" s="548" t="s">
        <v>17</v>
      </c>
      <c r="H26" s="561"/>
      <c r="I26" s="525" t="s">
        <v>193</v>
      </c>
      <c r="J26" s="525"/>
      <c r="K26" s="548" t="s">
        <v>120</v>
      </c>
      <c r="L26" s="549"/>
      <c r="M26" s="402"/>
      <c r="N26" s="402"/>
      <c r="O26" s="548" t="s">
        <v>120</v>
      </c>
      <c r="P26" s="549"/>
    </row>
    <row r="27" spans="1:20" ht="17.100000000000001" customHeight="1" thickTop="1" x14ac:dyDescent="0.2">
      <c r="A27" s="5" t="str">
        <f>Inventory!A26</f>
        <v>N/A</v>
      </c>
      <c r="B27" s="6" t="str">
        <f>Inventory!B26</f>
        <v>Clayton ROG-60-1 Boiler</v>
      </c>
      <c r="C27" s="10" t="str">
        <f>Inventory!D26</f>
        <v>Fuel Gas</v>
      </c>
      <c r="D27" s="11">
        <f>Inventory!E26</f>
        <v>2.5</v>
      </c>
      <c r="E27" s="12" t="str">
        <f>Inventory!F26</f>
        <v>MMBtu/hr</v>
      </c>
      <c r="F27" s="32" t="s">
        <v>18</v>
      </c>
      <c r="G27" s="4">
        <v>84</v>
      </c>
      <c r="H27" s="3" t="s">
        <v>19</v>
      </c>
      <c r="I27" s="19">
        <f>Inventory!G26</f>
        <v>8760</v>
      </c>
      <c r="J27" s="7" t="str">
        <f>Inventory!H26</f>
        <v>hr/yr</v>
      </c>
      <c r="K27" s="130">
        <f>D27/$C$44*G27*I27/2000</f>
        <v>0.90442477876106198</v>
      </c>
      <c r="L27" s="24" t="s">
        <v>24</v>
      </c>
      <c r="O27" s="130">
        <f>K27</f>
        <v>0.90442477876106198</v>
      </c>
      <c r="P27" s="24" t="s">
        <v>24</v>
      </c>
    </row>
    <row r="28" spans="1:20" ht="17.100000000000001" customHeight="1" x14ac:dyDescent="0.2">
      <c r="A28" s="5" t="str">
        <f>Inventory!A27</f>
        <v>N/A</v>
      </c>
      <c r="B28" s="6" t="str">
        <f>Inventory!B27</f>
        <v>Portable Space Heaters</v>
      </c>
      <c r="C28" s="10" t="str">
        <f>Inventory!D27</f>
        <v>Diesel</v>
      </c>
      <c r="D28" s="11">
        <f>Inventory!E27</f>
        <v>8</v>
      </c>
      <c r="E28" s="12" t="str">
        <f>Inventory!F27</f>
        <v>MMBtu/hr</v>
      </c>
      <c r="F28" s="32" t="s">
        <v>111</v>
      </c>
      <c r="G28" s="4">
        <v>5</v>
      </c>
      <c r="H28" s="3" t="s">
        <v>22</v>
      </c>
      <c r="I28" s="19">
        <f>Inventory!G27</f>
        <v>8760</v>
      </c>
      <c r="J28" s="7" t="str">
        <f>Inventory!H27</f>
        <v>hr/yr</v>
      </c>
      <c r="K28" s="130">
        <f>G28*1000000/(1000*$C$46)*D28*I28/2000</f>
        <v>1.2788321167883212</v>
      </c>
      <c r="L28" s="24" t="s">
        <v>24</v>
      </c>
      <c r="O28" s="130">
        <f t="shared" ref="O28:O31" si="5">K28</f>
        <v>1.2788321167883212</v>
      </c>
      <c r="P28" s="24" t="s">
        <v>24</v>
      </c>
    </row>
    <row r="29" spans="1:20" ht="17.100000000000001" customHeight="1" x14ac:dyDescent="0.2">
      <c r="A29" s="5" t="str">
        <f>Inventory!A28</f>
        <v>N/A</v>
      </c>
      <c r="B29" s="6" t="str">
        <f>Inventory!B28</f>
        <v>Clayton Sigma Fire</v>
      </c>
      <c r="C29" s="10" t="str">
        <f>Inventory!D28</f>
        <v>Fuel Gas</v>
      </c>
      <c r="D29" s="11">
        <f>Inventory!E28</f>
        <v>50</v>
      </c>
      <c r="E29" s="12" t="str">
        <f>Inventory!F28</f>
        <v>bhp</v>
      </c>
      <c r="F29" s="6" t="s">
        <v>18</v>
      </c>
      <c r="G29" s="11">
        <v>84</v>
      </c>
      <c r="H29" s="12" t="s">
        <v>19</v>
      </c>
      <c r="I29" s="19">
        <f>Inventory!G28</f>
        <v>8760</v>
      </c>
      <c r="J29" s="7" t="str">
        <f>Inventory!H28</f>
        <v>hr/yr</v>
      </c>
      <c r="K29" s="130">
        <f>D29*C45/1000000/C44*G29*I29/2000</f>
        <v>0.60558474336283175</v>
      </c>
      <c r="L29" s="24" t="s">
        <v>24</v>
      </c>
      <c r="O29" s="130">
        <f t="shared" si="5"/>
        <v>0.60558474336283175</v>
      </c>
      <c r="P29" s="24" t="s">
        <v>24</v>
      </c>
    </row>
    <row r="30" spans="1:20" ht="17.100000000000001" customHeight="1" x14ac:dyDescent="0.2">
      <c r="A30" s="5" t="str">
        <f>Inventory!A29</f>
        <v>19a</v>
      </c>
      <c r="B30" s="6" t="str">
        <f>Inventory!B29</f>
        <v>Riello AR 400 Boiler</v>
      </c>
      <c r="C30" s="10" t="str">
        <f>Inventory!D29</f>
        <v>Fuel Gas</v>
      </c>
      <c r="D30" s="11">
        <f>Inventory!E29</f>
        <v>4</v>
      </c>
      <c r="E30" s="12" t="str">
        <f>Inventory!F29</f>
        <v>MMBtu/hr</v>
      </c>
      <c r="F30" s="6" t="s">
        <v>18</v>
      </c>
      <c r="G30" s="11">
        <v>84</v>
      </c>
      <c r="H30" s="12" t="s">
        <v>19</v>
      </c>
      <c r="I30" s="19">
        <f>Inventory!G29</f>
        <v>8760</v>
      </c>
      <c r="J30" s="7" t="str">
        <f>Inventory!H29</f>
        <v>hr/yr</v>
      </c>
      <c r="K30" s="130">
        <f>D30/$C$44*G30*I30/2000</f>
        <v>1.4470796460176991</v>
      </c>
      <c r="L30" s="24" t="s">
        <v>24</v>
      </c>
      <c r="O30" s="130">
        <f t="shared" si="5"/>
        <v>1.4470796460176991</v>
      </c>
      <c r="P30" s="24" t="s">
        <v>24</v>
      </c>
    </row>
    <row r="31" spans="1:20" ht="17.100000000000001" customHeight="1" x14ac:dyDescent="0.2">
      <c r="A31" s="5" t="str">
        <f>Inventory!A30</f>
        <v>19b</v>
      </c>
      <c r="B31" s="6" t="str">
        <f>Inventory!B30</f>
        <v>Riello AR 400 Boiler</v>
      </c>
      <c r="C31" s="10" t="str">
        <f>Inventory!D30</f>
        <v>Fuel Gas</v>
      </c>
      <c r="D31" s="11">
        <f>Inventory!E30</f>
        <v>4</v>
      </c>
      <c r="E31" s="12" t="str">
        <f>Inventory!F30</f>
        <v>MMBtu/hr</v>
      </c>
      <c r="F31" s="6" t="s">
        <v>18</v>
      </c>
      <c r="G31" s="11">
        <v>84</v>
      </c>
      <c r="H31" s="12" t="s">
        <v>19</v>
      </c>
      <c r="I31" s="19">
        <f>Inventory!G30</f>
        <v>8760</v>
      </c>
      <c r="J31" s="7" t="str">
        <f>Inventory!H30</f>
        <v>hr/yr</v>
      </c>
      <c r="K31" s="130">
        <f>D31/$C$44*G31*I31/2000</f>
        <v>1.4470796460176991</v>
      </c>
      <c r="L31" s="24" t="s">
        <v>24</v>
      </c>
      <c r="O31" s="130">
        <f t="shared" si="5"/>
        <v>1.4470796460176991</v>
      </c>
      <c r="P31" s="24" t="s">
        <v>24</v>
      </c>
    </row>
    <row r="32" spans="1:20" ht="17.100000000000001" customHeight="1" x14ac:dyDescent="0.2">
      <c r="A32" s="5" t="str">
        <f>Inventory!A31</f>
        <v>20a</v>
      </c>
      <c r="B32" s="6" t="str">
        <f>Inventory!B31</f>
        <v>Riello AR 400 Boiler</v>
      </c>
      <c r="C32" s="10" t="str">
        <f>Inventory!D31</f>
        <v>Fuel Gas</v>
      </c>
      <c r="D32" s="11">
        <f>Inventory!E31</f>
        <v>4</v>
      </c>
      <c r="E32" s="12" t="str">
        <f>Inventory!F31</f>
        <v>MMBtu/hr</v>
      </c>
      <c r="F32" s="6" t="s">
        <v>18</v>
      </c>
      <c r="G32" s="11">
        <v>84</v>
      </c>
      <c r="H32" s="12" t="s">
        <v>19</v>
      </c>
      <c r="I32" s="19">
        <f>Inventory!G31</f>
        <v>8760</v>
      </c>
      <c r="J32" s="7" t="str">
        <f>Inventory!H31</f>
        <v>hr/yr</v>
      </c>
      <c r="K32" s="130">
        <f>D32/$C$44*G32*I32/2000</f>
        <v>1.4470796460176991</v>
      </c>
      <c r="L32" s="24" t="s">
        <v>24</v>
      </c>
      <c r="O32" s="130">
        <f>+O31</f>
        <v>1.4470796460176991</v>
      </c>
      <c r="P32" s="24" t="s">
        <v>24</v>
      </c>
    </row>
    <row r="33" spans="1:16" ht="17.100000000000001" customHeight="1" thickBot="1" x14ac:dyDescent="0.25">
      <c r="A33" s="15" t="str">
        <f>Inventory!A32</f>
        <v>N/A</v>
      </c>
      <c r="B33" s="16" t="str">
        <f>Inventory!B32</f>
        <v>Diesel Fuel Tank (G-T-3090)</v>
      </c>
      <c r="C33" s="403" t="str">
        <f>Inventory!D32</f>
        <v>N/A</v>
      </c>
      <c r="D33" s="409">
        <f>Inventory!E32</f>
        <v>2547</v>
      </c>
      <c r="E33" s="17" t="str">
        <f>Inventory!F32</f>
        <v>barrels</v>
      </c>
      <c r="F33" s="77" t="s">
        <v>274</v>
      </c>
      <c r="G33" s="546" t="s">
        <v>274</v>
      </c>
      <c r="H33" s="547"/>
      <c r="I33" s="20">
        <f>Inventory!G32</f>
        <v>3</v>
      </c>
      <c r="J33" s="21" t="str">
        <f>Inventory!H32</f>
        <v>turnovers/yr</v>
      </c>
      <c r="K33" s="131" t="e">
        <f>D33/$C$48*G33*I33/2000</f>
        <v>#DIV/0!</v>
      </c>
      <c r="L33" s="25" t="s">
        <v>24</v>
      </c>
      <c r="M33" s="371"/>
      <c r="N33" s="371"/>
      <c r="O33" s="404">
        <v>0</v>
      </c>
      <c r="P33" s="25" t="s">
        <v>24</v>
      </c>
    </row>
    <row r="34" spans="1:16" ht="17.100000000000001" customHeight="1" thickBot="1" x14ac:dyDescent="0.25">
      <c r="H34" s="70" t="s">
        <v>23</v>
      </c>
      <c r="I34" s="22"/>
      <c r="K34" s="132" t="e">
        <f>SUM(K27:K33)</f>
        <v>#DIV/0!</v>
      </c>
      <c r="L34" s="36" t="s">
        <v>24</v>
      </c>
      <c r="O34" s="132">
        <f>SUM(O27:O33)</f>
        <v>7.1300805769653124</v>
      </c>
      <c r="P34" s="36" t="s">
        <v>24</v>
      </c>
    </row>
    <row r="35" spans="1:16" s="35" customFormat="1" ht="17.100000000000001" customHeight="1" x14ac:dyDescent="0.2">
      <c r="A35" s="449" t="s">
        <v>25</v>
      </c>
      <c r="B35" s="2"/>
      <c r="C35" s="2"/>
      <c r="D35" s="22"/>
      <c r="E35" s="1"/>
    </row>
    <row r="36" spans="1:16" s="35" customFormat="1" ht="17.100000000000001" customHeight="1" x14ac:dyDescent="0.2">
      <c r="A36" s="320">
        <v>1</v>
      </c>
      <c r="B36" s="35" t="s">
        <v>171</v>
      </c>
    </row>
    <row r="37" spans="1:16" s="35" customFormat="1" ht="17.100000000000001" customHeight="1" x14ac:dyDescent="0.2">
      <c r="A37" s="320">
        <v>2</v>
      </c>
      <c r="B37" s="35" t="s">
        <v>241</v>
      </c>
    </row>
    <row r="38" spans="1:16" ht="17.100000000000001" customHeight="1" x14ac:dyDescent="0.2">
      <c r="A38" s="320">
        <v>3</v>
      </c>
      <c r="B38" s="35" t="s">
        <v>172</v>
      </c>
      <c r="C38" s="35"/>
      <c r="D38" s="35"/>
      <c r="E38" s="35"/>
    </row>
    <row r="39" spans="1:16" ht="17.100000000000001" customHeight="1" x14ac:dyDescent="0.2">
      <c r="A39" s="450" t="s">
        <v>168</v>
      </c>
      <c r="B39" s="55"/>
      <c r="C39" s="55"/>
      <c r="D39" s="35"/>
    </row>
    <row r="40" spans="1:16" ht="17.100000000000001" customHeight="1" x14ac:dyDescent="0.2">
      <c r="A40" s="35"/>
      <c r="B40" s="56" t="s">
        <v>101</v>
      </c>
      <c r="C40" s="84">
        <v>8960</v>
      </c>
      <c r="D40" s="34" t="s">
        <v>15</v>
      </c>
    </row>
    <row r="41" spans="1:16" ht="17.100000000000001" customHeight="1" x14ac:dyDescent="0.2">
      <c r="A41" s="35"/>
      <c r="B41" s="56" t="s">
        <v>102</v>
      </c>
      <c r="C41" s="84">
        <v>11138</v>
      </c>
      <c r="D41" s="34" t="s">
        <v>15</v>
      </c>
    </row>
    <row r="42" spans="1:16" ht="17.100000000000001" customHeight="1" x14ac:dyDescent="0.2">
      <c r="A42" s="35"/>
      <c r="B42" s="56" t="s">
        <v>103</v>
      </c>
      <c r="C42" s="84">
        <v>16122</v>
      </c>
      <c r="D42" s="34" t="s">
        <v>104</v>
      </c>
    </row>
    <row r="43" spans="1:16" ht="17.100000000000001" customHeight="1" x14ac:dyDescent="0.2">
      <c r="A43" s="35"/>
      <c r="B43" s="56" t="s">
        <v>105</v>
      </c>
      <c r="C43" s="84">
        <v>11277</v>
      </c>
      <c r="D43" s="34" t="s">
        <v>15</v>
      </c>
    </row>
    <row r="44" spans="1:16" ht="17.100000000000001" customHeight="1" x14ac:dyDescent="0.2">
      <c r="A44" s="35"/>
      <c r="B44" s="56" t="s">
        <v>13</v>
      </c>
      <c r="C44" s="84">
        <v>1017</v>
      </c>
      <c r="D44" s="34" t="s">
        <v>14</v>
      </c>
    </row>
    <row r="45" spans="1:16" ht="17.100000000000001" customHeight="1" x14ac:dyDescent="0.2">
      <c r="A45" s="35"/>
      <c r="B45" s="56" t="s">
        <v>106</v>
      </c>
      <c r="C45" s="84">
        <v>33479</v>
      </c>
      <c r="D45" s="34" t="s">
        <v>107</v>
      </c>
    </row>
    <row r="46" spans="1:16" ht="17.100000000000001" customHeight="1" x14ac:dyDescent="0.2">
      <c r="A46" s="35"/>
      <c r="B46" s="56" t="s">
        <v>11</v>
      </c>
      <c r="C46" s="84">
        <v>137000</v>
      </c>
      <c r="D46" s="34" t="s">
        <v>12</v>
      </c>
    </row>
  </sheetData>
  <mergeCells count="44">
    <mergeCell ref="T13:T14"/>
    <mergeCell ref="A15:A16"/>
    <mergeCell ref="B15:B16"/>
    <mergeCell ref="A1:T1"/>
    <mergeCell ref="A2:T2"/>
    <mergeCell ref="D4:E4"/>
    <mergeCell ref="G4:H4"/>
    <mergeCell ref="I4:J4"/>
    <mergeCell ref="O4:P4"/>
    <mergeCell ref="K4:L4"/>
    <mergeCell ref="Q4:R4"/>
    <mergeCell ref="M4:N4"/>
    <mergeCell ref="S4:T4"/>
    <mergeCell ref="P13:P14"/>
    <mergeCell ref="K13:K14"/>
    <mergeCell ref="L13:L14"/>
    <mergeCell ref="J13:J14"/>
    <mergeCell ref="O13:O14"/>
    <mergeCell ref="E15:E16"/>
    <mergeCell ref="K15:K16"/>
    <mergeCell ref="L15:L16"/>
    <mergeCell ref="S13:S14"/>
    <mergeCell ref="H13:H14"/>
    <mergeCell ref="I13:I14"/>
    <mergeCell ref="Q13:Q14"/>
    <mergeCell ref="A23:P23"/>
    <mergeCell ref="Q15:Q16"/>
    <mergeCell ref="R15:R16"/>
    <mergeCell ref="R13:R14"/>
    <mergeCell ref="M13:M14"/>
    <mergeCell ref="N13:N14"/>
    <mergeCell ref="F13:F14"/>
    <mergeCell ref="O15:O16"/>
    <mergeCell ref="P15:P16"/>
    <mergeCell ref="G13:G14"/>
    <mergeCell ref="C15:C16"/>
    <mergeCell ref="D15:D16"/>
    <mergeCell ref="G33:H33"/>
    <mergeCell ref="A24:P24"/>
    <mergeCell ref="O26:P26"/>
    <mergeCell ref="D26:E26"/>
    <mergeCell ref="G26:H26"/>
    <mergeCell ref="I26:J26"/>
    <mergeCell ref="K26:L26"/>
  </mergeCells>
  <printOptions horizontalCentered="1"/>
  <pageMargins left="0.5" right="0.5" top="0.5" bottom="0.5" header="0.3" footer="0.3"/>
  <pageSetup scale="60" orientation="landscape" r:id="rId1"/>
  <headerFooter scaleWithDoc="0">
    <oddFooter>&amp;L&amp;"Arial,Regular"&amp;9Hilcorp Alaska, LLC
Grayling Platform
Title V Renewal Application&amp;C&amp;"Arial,Regular"&amp;9Page D-&amp;P&amp;R&amp;"Arial,Regular"&amp;9December 2022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66C84-DB8C-4017-9050-6CD9454ACBDA}">
  <dimension ref="A1:T44"/>
  <sheetViews>
    <sheetView view="pageBreakPreview" zoomScaleNormal="100" zoomScaleSheetLayoutView="100" workbookViewId="0">
      <selection activeCell="E40" sqref="E40"/>
    </sheetView>
  </sheetViews>
  <sheetFormatPr defaultColWidth="9.140625" defaultRowHeight="12.75" x14ac:dyDescent="0.2"/>
  <cols>
    <col min="1" max="1" width="6.7109375" style="1" customWidth="1"/>
    <col min="2" max="2" width="30.7109375" style="1" customWidth="1"/>
    <col min="3" max="5" width="10.7109375" style="1" customWidth="1"/>
    <col min="6" max="6" width="25.7109375" style="1" customWidth="1"/>
    <col min="7" max="8" width="10.7109375" style="1" customWidth="1"/>
    <col min="9" max="14" width="10.7109375" style="1" hidden="1" customWidth="1"/>
    <col min="15" max="20" width="10.7109375" style="1" customWidth="1"/>
    <col min="21" max="16384" width="9.140625" style="1"/>
  </cols>
  <sheetData>
    <row r="1" spans="1:20" ht="17.100000000000001" customHeight="1" x14ac:dyDescent="0.2">
      <c r="A1" s="517" t="s">
        <v>215</v>
      </c>
      <c r="B1" s="517"/>
      <c r="C1" s="517"/>
      <c r="D1" s="517"/>
      <c r="E1" s="517"/>
      <c r="F1" s="517"/>
      <c r="G1" s="517"/>
      <c r="H1" s="517"/>
      <c r="I1" s="517"/>
      <c r="J1" s="517"/>
      <c r="K1" s="517"/>
      <c r="L1" s="517"/>
      <c r="M1" s="517"/>
      <c r="N1" s="517"/>
      <c r="O1" s="517"/>
      <c r="P1" s="517"/>
      <c r="Q1" s="517"/>
      <c r="R1" s="517"/>
      <c r="S1" s="517"/>
      <c r="T1" s="517"/>
    </row>
    <row r="2" spans="1:20" ht="17.100000000000001" customHeight="1" x14ac:dyDescent="0.2">
      <c r="A2" s="517" t="str">
        <f>Inventory!A2</f>
        <v>Hilcorp Alaska, LLC - Grayling Platform</v>
      </c>
      <c r="B2" s="517"/>
      <c r="C2" s="517"/>
      <c r="D2" s="517"/>
      <c r="E2" s="517"/>
      <c r="F2" s="517"/>
      <c r="G2" s="517"/>
      <c r="H2" s="517"/>
      <c r="I2" s="517"/>
      <c r="J2" s="517"/>
      <c r="K2" s="517"/>
      <c r="L2" s="517"/>
      <c r="M2" s="517"/>
      <c r="N2" s="517"/>
      <c r="O2" s="517"/>
      <c r="P2" s="517"/>
      <c r="Q2" s="517"/>
      <c r="R2" s="517"/>
      <c r="S2" s="517"/>
      <c r="T2" s="517"/>
    </row>
    <row r="3" spans="1:20" ht="17.100000000000001" customHeight="1" thickBot="1" x14ac:dyDescent="0.25"/>
    <row r="4" spans="1:20" s="31" customFormat="1" ht="30.95" customHeight="1" thickBot="1" x14ac:dyDescent="0.3">
      <c r="A4" s="30" t="s">
        <v>0</v>
      </c>
      <c r="B4" s="90" t="s">
        <v>205</v>
      </c>
      <c r="C4" s="90" t="s">
        <v>1</v>
      </c>
      <c r="D4" s="533" t="s">
        <v>2</v>
      </c>
      <c r="E4" s="533"/>
      <c r="F4" s="90" t="s">
        <v>16</v>
      </c>
      <c r="G4" s="559" t="s">
        <v>17</v>
      </c>
      <c r="H4" s="560"/>
      <c r="I4" s="525" t="s">
        <v>192</v>
      </c>
      <c r="J4" s="525"/>
      <c r="K4" s="525" t="s">
        <v>193</v>
      </c>
      <c r="L4" s="525"/>
      <c r="M4" s="525" t="s">
        <v>175</v>
      </c>
      <c r="N4" s="525"/>
      <c r="O4" s="548" t="s">
        <v>157</v>
      </c>
      <c r="P4" s="562"/>
      <c r="Q4" s="548" t="s">
        <v>120</v>
      </c>
      <c r="R4" s="561"/>
      <c r="S4" s="562" t="s">
        <v>160</v>
      </c>
      <c r="T4" s="549"/>
    </row>
    <row r="5" spans="1:20" ht="17.100000000000001" customHeight="1" thickTop="1" x14ac:dyDescent="0.2">
      <c r="A5" s="5">
        <f>Inventory!A5</f>
        <v>1</v>
      </c>
      <c r="B5" s="6" t="str">
        <f>Inventory!B5</f>
        <v>Solar Centaur T4500</v>
      </c>
      <c r="C5" s="6" t="str">
        <f>Inventory!D5</f>
        <v>Fuel Gas</v>
      </c>
      <c r="D5" s="19">
        <f>Inventory!E5</f>
        <v>4500</v>
      </c>
      <c r="E5" s="7" t="str">
        <f>Inventory!F5</f>
        <v>hp</v>
      </c>
      <c r="F5" s="6" t="s">
        <v>113</v>
      </c>
      <c r="G5" s="11">
        <v>6.6E-3</v>
      </c>
      <c r="H5" s="12" t="s">
        <v>20</v>
      </c>
      <c r="I5" s="8">
        <f>Inventory!G5</f>
        <v>8760</v>
      </c>
      <c r="J5" s="9" t="str">
        <f>Inventory!H5</f>
        <v>hr/yr</v>
      </c>
      <c r="K5" s="8">
        <f>Inventory!I5</f>
        <v>8760</v>
      </c>
      <c r="L5" s="9" t="str">
        <f>Inventory!J5</f>
        <v>hr/yr</v>
      </c>
      <c r="M5" s="143">
        <f>Inventory!K5</f>
        <v>2985</v>
      </c>
      <c r="N5" s="9" t="str">
        <f>Inventory!L5</f>
        <v>hr/yr</v>
      </c>
      <c r="O5" s="114">
        <f>$G5/1000000*$D5*$C$37*I5/2000</f>
        <v>1.1655705600000001</v>
      </c>
      <c r="P5" s="28" t="s">
        <v>24</v>
      </c>
      <c r="Q5" s="116">
        <f>+O5/I5*K5</f>
        <v>1.1655705600000001</v>
      </c>
      <c r="R5" s="9" t="s">
        <v>24</v>
      </c>
      <c r="S5" s="116">
        <f>+Q5/K5*M5</f>
        <v>0.39717216000000005</v>
      </c>
      <c r="T5" s="26" t="s">
        <v>24</v>
      </c>
    </row>
    <row r="6" spans="1:20" ht="17.100000000000001" customHeight="1" x14ac:dyDescent="0.2">
      <c r="A6" s="5">
        <f>Inventory!A6</f>
        <v>3</v>
      </c>
      <c r="B6" s="6" t="str">
        <f>Inventory!B6</f>
        <v>Solar Centaur T4500</v>
      </c>
      <c r="C6" s="10" t="str">
        <f>Inventory!D6</f>
        <v>Fuel Gas</v>
      </c>
      <c r="D6" s="13">
        <f>Inventory!E6</f>
        <v>4500</v>
      </c>
      <c r="E6" s="12" t="str">
        <f>Inventory!F6</f>
        <v>hp</v>
      </c>
      <c r="F6" s="6" t="s">
        <v>113</v>
      </c>
      <c r="G6" s="11">
        <v>6.6E-3</v>
      </c>
      <c r="H6" s="12" t="s">
        <v>20</v>
      </c>
      <c r="I6" s="8">
        <f>Inventory!G6</f>
        <v>8760</v>
      </c>
      <c r="J6" s="9" t="str">
        <f>Inventory!H6</f>
        <v>hr/yr</v>
      </c>
      <c r="K6" s="8">
        <f>Inventory!I6</f>
        <v>8760</v>
      </c>
      <c r="L6" s="9" t="str">
        <f>Inventory!J6</f>
        <v>hr/yr</v>
      </c>
      <c r="M6" s="143">
        <f>Inventory!K6</f>
        <v>2369</v>
      </c>
      <c r="N6" s="9" t="str">
        <f>Inventory!L6</f>
        <v>hr/yr</v>
      </c>
      <c r="O6" s="114">
        <f>$G6/1000000*$D6*$C$37*I6/2000</f>
        <v>1.1655705600000001</v>
      </c>
      <c r="P6" s="28" t="s">
        <v>24</v>
      </c>
      <c r="Q6" s="116">
        <f t="shared" ref="Q6" si="0">+O6/I6*K6</f>
        <v>1.1655705600000001</v>
      </c>
      <c r="R6" s="9" t="s">
        <v>24</v>
      </c>
      <c r="S6" s="116">
        <f t="shared" ref="S6" si="1">+Q6/K6*M6</f>
        <v>0.31520966400000006</v>
      </c>
      <c r="T6" s="26" t="s">
        <v>24</v>
      </c>
    </row>
    <row r="7" spans="1:20" ht="17.100000000000001" customHeight="1" x14ac:dyDescent="0.2">
      <c r="A7" s="5" t="str">
        <f>Inventory!A7</f>
        <v>4a</v>
      </c>
      <c r="B7" s="6" t="str">
        <f>Inventory!B7</f>
        <v>Solar Centaur T4500</v>
      </c>
      <c r="C7" s="10" t="str">
        <f>Inventory!D7</f>
        <v>Fuel Gas</v>
      </c>
      <c r="D7" s="13">
        <f>Inventory!E7</f>
        <v>4500</v>
      </c>
      <c r="E7" s="12" t="str">
        <f>Inventory!F7</f>
        <v>hp</v>
      </c>
      <c r="F7" s="6" t="s">
        <v>113</v>
      </c>
      <c r="G7" s="11">
        <v>6.6E-3</v>
      </c>
      <c r="H7" s="12" t="s">
        <v>20</v>
      </c>
      <c r="I7" s="8">
        <f>Inventory!G7</f>
        <v>8760</v>
      </c>
      <c r="J7" s="9" t="str">
        <f>Inventory!H7</f>
        <v>hr/yr</v>
      </c>
      <c r="K7" s="8">
        <f>Inventory!I7</f>
        <v>8760</v>
      </c>
      <c r="L7" s="9" t="str">
        <f>Inventory!J7</f>
        <v>hr/yr</v>
      </c>
      <c r="M7" s="143">
        <f>Inventory!K7</f>
        <v>8562</v>
      </c>
      <c r="N7" s="9" t="str">
        <f>Inventory!L7</f>
        <v>hr/yr</v>
      </c>
      <c r="O7" s="114">
        <f>$G7/1000000*$D7*$C$37*I7/2000</f>
        <v>1.1655705600000001</v>
      </c>
      <c r="P7" s="28" t="s">
        <v>24</v>
      </c>
      <c r="Q7" s="116">
        <f t="shared" ref="Q7:Q19" si="2">+O7/I7*K7</f>
        <v>1.1655705600000001</v>
      </c>
      <c r="R7" s="9" t="s">
        <v>24</v>
      </c>
      <c r="S7" s="116">
        <f t="shared" ref="S7:S19" si="3">+Q7/K7*M7</f>
        <v>1.1392254720000001</v>
      </c>
      <c r="T7" s="26" t="s">
        <v>24</v>
      </c>
    </row>
    <row r="8" spans="1:20" ht="17.100000000000001" customHeight="1" x14ac:dyDescent="0.2">
      <c r="A8" s="5">
        <f>Inventory!A8</f>
        <v>14</v>
      </c>
      <c r="B8" s="6" t="str">
        <f>Inventory!B8</f>
        <v>Solar Saturn T1200</v>
      </c>
      <c r="C8" s="10" t="str">
        <f>Inventory!D8</f>
        <v>Fuel Gas</v>
      </c>
      <c r="D8" s="13">
        <f>Inventory!E8</f>
        <v>1100</v>
      </c>
      <c r="E8" s="12" t="str">
        <f>Inventory!F8</f>
        <v>hp</v>
      </c>
      <c r="F8" s="6" t="s">
        <v>113</v>
      </c>
      <c r="G8" s="11">
        <v>6.6E-3</v>
      </c>
      <c r="H8" s="12" t="s">
        <v>20</v>
      </c>
      <c r="I8" s="8">
        <f>Inventory!G8</f>
        <v>8760</v>
      </c>
      <c r="J8" s="9" t="str">
        <f>Inventory!H8</f>
        <v>hr/yr</v>
      </c>
      <c r="K8" s="8">
        <f>Inventory!I8</f>
        <v>8760</v>
      </c>
      <c r="L8" s="9" t="str">
        <f>Inventory!J8</f>
        <v>hr/yr</v>
      </c>
      <c r="M8" s="143">
        <f>Inventory!K8</f>
        <v>0</v>
      </c>
      <c r="N8" s="9" t="str">
        <f>Inventory!L8</f>
        <v>hr/yr</v>
      </c>
      <c r="O8" s="114">
        <f>$G8/1000000*$D8*$C$38*I8/2000</f>
        <v>0.35417503440000009</v>
      </c>
      <c r="P8" s="28" t="s">
        <v>24</v>
      </c>
      <c r="Q8" s="116">
        <f t="shared" si="2"/>
        <v>0.35417503440000009</v>
      </c>
      <c r="R8" s="9" t="s">
        <v>24</v>
      </c>
      <c r="S8" s="37">
        <f t="shared" si="3"/>
        <v>0</v>
      </c>
      <c r="T8" s="26" t="s">
        <v>24</v>
      </c>
    </row>
    <row r="9" spans="1:20" ht="17.100000000000001" customHeight="1" x14ac:dyDescent="0.2">
      <c r="A9" s="5">
        <f>Inventory!A9</f>
        <v>15</v>
      </c>
      <c r="B9" s="6" t="str">
        <f>Inventory!B9</f>
        <v>Solar Saturn T1200</v>
      </c>
      <c r="C9" s="10" t="str">
        <f>Inventory!D9</f>
        <v>Fuel Gas</v>
      </c>
      <c r="D9" s="11">
        <f>Inventory!E9</f>
        <v>800</v>
      </c>
      <c r="E9" s="12" t="str">
        <f>Inventory!F9</f>
        <v>kW</v>
      </c>
      <c r="F9" s="6" t="s">
        <v>113</v>
      </c>
      <c r="G9" s="11">
        <v>6.6E-3</v>
      </c>
      <c r="H9" s="12" t="s">
        <v>20</v>
      </c>
      <c r="I9" s="8">
        <f>Inventory!G9</f>
        <v>8760</v>
      </c>
      <c r="J9" s="9" t="str">
        <f>Inventory!H9</f>
        <v>hr/yr</v>
      </c>
      <c r="K9" s="8">
        <f>Inventory!I9</f>
        <v>8760</v>
      </c>
      <c r="L9" s="9" t="str">
        <f>Inventory!J9</f>
        <v>hr/yr</v>
      </c>
      <c r="M9" s="143">
        <f>Inventory!K9</f>
        <v>1599</v>
      </c>
      <c r="N9" s="9" t="str">
        <f>Inventory!L9</f>
        <v>hr/yr</v>
      </c>
      <c r="O9" s="114">
        <f>$G9/1000000*$D9*$C$39*I9/2000</f>
        <v>0.3728438208</v>
      </c>
      <c r="P9" s="28" t="s">
        <v>24</v>
      </c>
      <c r="Q9" s="116">
        <f t="shared" si="2"/>
        <v>0.3728438208</v>
      </c>
      <c r="R9" s="9" t="s">
        <v>24</v>
      </c>
      <c r="S9" s="128">
        <f t="shared" si="3"/>
        <v>6.8056765919999998E-2</v>
      </c>
      <c r="T9" s="26" t="s">
        <v>24</v>
      </c>
    </row>
    <row r="10" spans="1:20" ht="17.100000000000001" customHeight="1" x14ac:dyDescent="0.2">
      <c r="A10" s="5">
        <f>Inventory!A10</f>
        <v>16</v>
      </c>
      <c r="B10" s="6" t="str">
        <f>Inventory!B10</f>
        <v>Solar Saturn T1200</v>
      </c>
      <c r="C10" s="10" t="str">
        <f>Inventory!D10</f>
        <v>Fuel Gas</v>
      </c>
      <c r="D10" s="11">
        <f>Inventory!E10</f>
        <v>750</v>
      </c>
      <c r="E10" s="12" t="str">
        <f>Inventory!F10</f>
        <v>kW</v>
      </c>
      <c r="F10" s="6" t="s">
        <v>113</v>
      </c>
      <c r="G10" s="11">
        <v>6.6E-3</v>
      </c>
      <c r="H10" s="12" t="s">
        <v>20</v>
      </c>
      <c r="I10" s="8">
        <f>Inventory!G10</f>
        <v>8760</v>
      </c>
      <c r="J10" s="9" t="str">
        <f>Inventory!H10</f>
        <v>hr/yr</v>
      </c>
      <c r="K10" s="8">
        <f>Inventory!I10</f>
        <v>8760</v>
      </c>
      <c r="L10" s="9" t="str">
        <f>Inventory!J10</f>
        <v>hr/yr</v>
      </c>
      <c r="M10" s="143">
        <f>Inventory!K10</f>
        <v>1868</v>
      </c>
      <c r="N10" s="9" t="str">
        <f>Inventory!L10</f>
        <v>hr/yr</v>
      </c>
      <c r="O10" s="114">
        <f>$G10/1000000*$D10*$C$39*I10/2000</f>
        <v>0.34954108199999995</v>
      </c>
      <c r="P10" s="28" t="s">
        <v>24</v>
      </c>
      <c r="Q10" s="116">
        <f t="shared" si="2"/>
        <v>0.34954108199999995</v>
      </c>
      <c r="R10" s="9" t="s">
        <v>24</v>
      </c>
      <c r="S10" s="128">
        <f t="shared" si="3"/>
        <v>7.4536842599999986E-2</v>
      </c>
      <c r="T10" s="26" t="s">
        <v>24</v>
      </c>
    </row>
    <row r="11" spans="1:20" ht="17.100000000000001" customHeight="1" x14ac:dyDescent="0.2">
      <c r="A11" s="5">
        <f>Inventory!A11</f>
        <v>17</v>
      </c>
      <c r="B11" s="6" t="str">
        <f>Inventory!B11</f>
        <v>Solar Saturn T1200</v>
      </c>
      <c r="C11" s="10" t="str">
        <f>Inventory!D11</f>
        <v>Fuel Gas</v>
      </c>
      <c r="D11" s="11">
        <f>Inventory!E11</f>
        <v>800</v>
      </c>
      <c r="E11" s="12" t="str">
        <f>Inventory!F11</f>
        <v>kW</v>
      </c>
      <c r="F11" s="6" t="s">
        <v>113</v>
      </c>
      <c r="G11" s="11">
        <v>6.6E-3</v>
      </c>
      <c r="H11" s="12" t="s">
        <v>20</v>
      </c>
      <c r="I11" s="8">
        <f>Inventory!G11</f>
        <v>8760</v>
      </c>
      <c r="J11" s="9" t="str">
        <f>Inventory!H11</f>
        <v>hr/yr</v>
      </c>
      <c r="K11" s="8">
        <f>Inventory!I11</f>
        <v>8760</v>
      </c>
      <c r="L11" s="9" t="str">
        <f>Inventory!J11</f>
        <v>hr/yr</v>
      </c>
      <c r="M11" s="143">
        <f>Inventory!K11</f>
        <v>1384</v>
      </c>
      <c r="N11" s="9" t="str">
        <f>Inventory!L11</f>
        <v>hr/yr</v>
      </c>
      <c r="O11" s="114">
        <f>$G11/1000000*$D11*$C$39*I11/2000</f>
        <v>0.3728438208</v>
      </c>
      <c r="P11" s="28" t="s">
        <v>24</v>
      </c>
      <c r="Q11" s="116">
        <f t="shared" si="2"/>
        <v>0.3728438208</v>
      </c>
      <c r="R11" s="9" t="s">
        <v>24</v>
      </c>
      <c r="S11" s="128">
        <f t="shared" si="3"/>
        <v>5.8905918720000006E-2</v>
      </c>
      <c r="T11" s="26" t="s">
        <v>24</v>
      </c>
    </row>
    <row r="12" spans="1:20" ht="17.100000000000001" customHeight="1" x14ac:dyDescent="0.2">
      <c r="A12" s="5">
        <f>Inventory!A12</f>
        <v>18</v>
      </c>
      <c r="B12" s="6" t="str">
        <f>Inventory!B12</f>
        <v>Solar Saturn T1200</v>
      </c>
      <c r="C12" s="10" t="str">
        <f>Inventory!D12</f>
        <v>Fuel Gas</v>
      </c>
      <c r="D12" s="11">
        <f>Inventory!E12</f>
        <v>800</v>
      </c>
      <c r="E12" s="12" t="str">
        <f>Inventory!F12</f>
        <v>kW</v>
      </c>
      <c r="F12" s="6" t="s">
        <v>113</v>
      </c>
      <c r="G12" s="11">
        <v>6.6E-3</v>
      </c>
      <c r="H12" s="12" t="s">
        <v>20</v>
      </c>
      <c r="I12" s="8">
        <f>Inventory!G12</f>
        <v>8760</v>
      </c>
      <c r="J12" s="9" t="str">
        <f>Inventory!H12</f>
        <v>hr/yr</v>
      </c>
      <c r="K12" s="8">
        <f>Inventory!I12</f>
        <v>8760</v>
      </c>
      <c r="L12" s="9" t="str">
        <f>Inventory!J12</f>
        <v>hr/yr</v>
      </c>
      <c r="M12" s="143">
        <f>Inventory!K12</f>
        <v>1380</v>
      </c>
      <c r="N12" s="9" t="str">
        <f>Inventory!L12</f>
        <v>hr/yr</v>
      </c>
      <c r="O12" s="114">
        <f>$G12/1000000*$D12*$C$39*I12/2000</f>
        <v>0.3728438208</v>
      </c>
      <c r="P12" s="28" t="s">
        <v>24</v>
      </c>
      <c r="Q12" s="116">
        <f t="shared" si="2"/>
        <v>0.3728438208</v>
      </c>
      <c r="R12" s="9" t="s">
        <v>24</v>
      </c>
      <c r="S12" s="128">
        <f t="shared" si="3"/>
        <v>5.8735670400000002E-2</v>
      </c>
      <c r="T12" s="26" t="s">
        <v>24</v>
      </c>
    </row>
    <row r="13" spans="1:20" ht="37.5" customHeight="1" x14ac:dyDescent="0.2">
      <c r="A13" s="123">
        <f>Inventory!A17</f>
        <v>28</v>
      </c>
      <c r="B13" s="125" t="str">
        <f>Inventory!B17</f>
        <v>Flare (South)</v>
      </c>
      <c r="C13" s="365" t="str">
        <f>Inventory!D17</f>
        <v>Fuel Gas</v>
      </c>
      <c r="D13" s="444">
        <f>Inventory!E17</f>
        <v>0.12</v>
      </c>
      <c r="E13" s="445" t="str">
        <f>Inventory!F17</f>
        <v>MMscf/day, pilot/purge combined</v>
      </c>
      <c r="F13" s="531" t="s">
        <v>21</v>
      </c>
      <c r="G13" s="551">
        <v>2.64E-2</v>
      </c>
      <c r="H13" s="553" t="s">
        <v>20</v>
      </c>
      <c r="I13" s="581">
        <f>Inventory!G17</f>
        <v>193.762</v>
      </c>
      <c r="J13" s="575" t="str">
        <f>Inventory!H17</f>
        <v>MMscf/yr, combined 6</v>
      </c>
      <c r="K13" s="563">
        <f>Inventory!I17</f>
        <v>14.12</v>
      </c>
      <c r="L13" s="575" t="str">
        <f>Inventory!J17</f>
        <v>MMscf/day, each</v>
      </c>
      <c r="M13" s="573">
        <f>Inventory!K17</f>
        <v>49829</v>
      </c>
      <c r="N13" s="575" t="str">
        <f>Inventory!L17</f>
        <v>Mscf/yr,  combined</v>
      </c>
      <c r="O13" s="577">
        <f>I13*C41*G13/2000</f>
        <v>2.6011385927999999</v>
      </c>
      <c r="P13" s="579" t="s">
        <v>24</v>
      </c>
      <c r="Q13" s="577">
        <f>K13*C41*365*G13/2000*2</f>
        <v>138.37334543999998</v>
      </c>
      <c r="R13" s="553" t="s">
        <v>24</v>
      </c>
      <c r="S13" s="569">
        <f>M13/1000*C41*G13/2000</f>
        <v>0.66892442760000004</v>
      </c>
      <c r="T13" s="571" t="s">
        <v>24</v>
      </c>
    </row>
    <row r="14" spans="1:20" ht="37.5" customHeight="1" x14ac:dyDescent="0.2">
      <c r="A14" s="123">
        <f>Inventory!A18</f>
        <v>29</v>
      </c>
      <c r="B14" s="125" t="str">
        <f>Inventory!B18</f>
        <v>Flare (SW)</v>
      </c>
      <c r="C14" s="365" t="str">
        <f>Inventory!D18</f>
        <v>Fuel Gas</v>
      </c>
      <c r="D14" s="188">
        <f>Inventory!E18</f>
        <v>14</v>
      </c>
      <c r="E14" s="367" t="str">
        <f>Inventory!F18</f>
        <v>MMscf/day, emergency each</v>
      </c>
      <c r="F14" s="550"/>
      <c r="G14" s="552"/>
      <c r="H14" s="554"/>
      <c r="I14" s="582"/>
      <c r="J14" s="576"/>
      <c r="K14" s="564"/>
      <c r="L14" s="576"/>
      <c r="M14" s="574"/>
      <c r="N14" s="576"/>
      <c r="O14" s="578"/>
      <c r="P14" s="580"/>
      <c r="Q14" s="578"/>
      <c r="R14" s="554" t="s">
        <v>24</v>
      </c>
      <c r="S14" s="570"/>
      <c r="T14" s="572" t="s">
        <v>24</v>
      </c>
    </row>
    <row r="15" spans="1:20" ht="17.100000000000001" customHeight="1" x14ac:dyDescent="0.2">
      <c r="A15" s="431">
        <f>Inventory!A19</f>
        <v>31</v>
      </c>
      <c r="B15" s="73" t="str">
        <f>Inventory!B19</f>
        <v>Solar Taurus 60 T-7300S</v>
      </c>
      <c r="C15" s="365" t="str">
        <f>Inventory!D19</f>
        <v>Fuel Gas</v>
      </c>
      <c r="D15" s="428">
        <f>Inventory!E19</f>
        <v>5.2</v>
      </c>
      <c r="E15" s="407" t="str">
        <f>Inventory!F19</f>
        <v>MW</v>
      </c>
      <c r="F15" s="6" t="s">
        <v>113</v>
      </c>
      <c r="G15" s="11">
        <v>6.6E-3</v>
      </c>
      <c r="H15" s="12" t="s">
        <v>20</v>
      </c>
      <c r="I15" s="8">
        <v>8760</v>
      </c>
      <c r="J15" s="28" t="str">
        <f>Inventory!H19</f>
        <v>hr/yr</v>
      </c>
      <c r="K15" s="420">
        <f>Inventory!I19</f>
        <v>8760</v>
      </c>
      <c r="L15" s="407" t="str">
        <f>Inventory!J19</f>
        <v>hr/yr</v>
      </c>
      <c r="M15" s="143">
        <f>Inventory!K19+Inventory!K20</f>
        <v>7357</v>
      </c>
      <c r="N15" s="28" t="str">
        <f>Inventory!L19</f>
        <v>hr/yr</v>
      </c>
      <c r="O15" s="116">
        <f>$G15/1000000*$D15*1000*$C$40*I15/2000*1.341</f>
        <v>2.2732319321712002</v>
      </c>
      <c r="P15" s="28" t="s">
        <v>24</v>
      </c>
      <c r="Q15" s="116">
        <f t="shared" ref="Q15" si="4">+O15/I15*K15</f>
        <v>2.2732319321712002</v>
      </c>
      <c r="R15" s="9" t="s">
        <v>24</v>
      </c>
      <c r="S15" s="116">
        <f t="shared" ref="S15" si="5">+Q15/K15*M15</f>
        <v>1.9091515211168402</v>
      </c>
      <c r="T15" s="26" t="s">
        <v>24</v>
      </c>
    </row>
    <row r="16" spans="1:20" ht="17.100000000000001" customHeight="1" x14ac:dyDescent="0.2">
      <c r="A16" s="74">
        <f>Inventory!A13</f>
        <v>24</v>
      </c>
      <c r="B16" s="32" t="str">
        <f>Inventory!B13</f>
        <v>Caterpillar 3406</v>
      </c>
      <c r="C16" s="322" t="str">
        <f>Inventory!D13</f>
        <v>Diesel</v>
      </c>
      <c r="D16" s="424">
        <f>Inventory!E13</f>
        <v>340</v>
      </c>
      <c r="E16" s="3" t="str">
        <f>Inventory!F13</f>
        <v>hp</v>
      </c>
      <c r="F16" s="50" t="s">
        <v>108</v>
      </c>
      <c r="G16" s="4">
        <v>2.2000000000000001E-3</v>
      </c>
      <c r="H16" s="3" t="s">
        <v>169</v>
      </c>
      <c r="I16" s="188">
        <f>Inventory!G13</f>
        <v>3000</v>
      </c>
      <c r="J16" s="14" t="s">
        <v>5</v>
      </c>
      <c r="K16" s="188">
        <f>Inventory!I13</f>
        <v>8760</v>
      </c>
      <c r="L16" s="14" t="str">
        <f>Inventory!J13</f>
        <v>hr/yr</v>
      </c>
      <c r="M16" s="429">
        <f>Inventory!K13</f>
        <v>154</v>
      </c>
      <c r="N16" s="14" t="str">
        <f>Inventory!L13</f>
        <v>hr/yr</v>
      </c>
      <c r="O16" s="425">
        <f>$D16*$G16*I16/2000</f>
        <v>1.1220000000000001</v>
      </c>
      <c r="P16" s="29" t="s">
        <v>24</v>
      </c>
      <c r="Q16" s="426">
        <f t="shared" si="2"/>
        <v>3.2762400000000005</v>
      </c>
      <c r="R16" s="14" t="s">
        <v>24</v>
      </c>
      <c r="S16" s="323">
        <f t="shared" si="3"/>
        <v>5.7596000000000008E-2</v>
      </c>
      <c r="T16" s="27" t="s">
        <v>24</v>
      </c>
    </row>
    <row r="17" spans="1:20" ht="17.100000000000001" customHeight="1" x14ac:dyDescent="0.2">
      <c r="A17" s="5">
        <f>Inventory!A14</f>
        <v>25</v>
      </c>
      <c r="B17" s="6" t="str">
        <f>Inventory!B14</f>
        <v>Caterpillar 3208</v>
      </c>
      <c r="C17" s="10" t="str">
        <f>Inventory!D14</f>
        <v>Diesel</v>
      </c>
      <c r="D17" s="13">
        <f>Inventory!E14</f>
        <v>250</v>
      </c>
      <c r="E17" s="12" t="str">
        <f>Inventory!F14</f>
        <v>hp</v>
      </c>
      <c r="F17" s="50" t="s">
        <v>108</v>
      </c>
      <c r="G17" s="4">
        <v>2.2000000000000001E-3</v>
      </c>
      <c r="H17" s="3" t="s">
        <v>169</v>
      </c>
      <c r="I17" s="8">
        <f>Inventory!G14</f>
        <v>3000</v>
      </c>
      <c r="J17" s="9" t="s">
        <v>5</v>
      </c>
      <c r="K17" s="8">
        <f>Inventory!I14</f>
        <v>8760</v>
      </c>
      <c r="L17" s="9" t="str">
        <f>Inventory!J14</f>
        <v>hr/yr</v>
      </c>
      <c r="M17" s="143">
        <f>Inventory!K14</f>
        <v>510</v>
      </c>
      <c r="N17" s="9" t="str">
        <f>Inventory!L14</f>
        <v>hr/yr</v>
      </c>
      <c r="O17" s="114">
        <f>$D17*$G17*I17/2000</f>
        <v>0.82500000000000007</v>
      </c>
      <c r="P17" s="28" t="s">
        <v>24</v>
      </c>
      <c r="Q17" s="116">
        <f t="shared" si="2"/>
        <v>2.4090000000000003</v>
      </c>
      <c r="R17" s="9" t="s">
        <v>24</v>
      </c>
      <c r="S17" s="116">
        <f t="shared" si="3"/>
        <v>0.14025000000000001</v>
      </c>
      <c r="T17" s="26" t="s">
        <v>24</v>
      </c>
    </row>
    <row r="18" spans="1:20" ht="17.100000000000001" customHeight="1" x14ac:dyDescent="0.2">
      <c r="A18" s="5" t="str">
        <f>Inventory!A15</f>
        <v>26a</v>
      </c>
      <c r="B18" s="6" t="str">
        <f>Inventory!B15</f>
        <v>Detroit Diesel Series 60 6063HV35</v>
      </c>
      <c r="C18" s="10" t="str">
        <f>Inventory!D15</f>
        <v>Diesel</v>
      </c>
      <c r="D18" s="13">
        <f>Inventory!E15</f>
        <v>685</v>
      </c>
      <c r="E18" s="12" t="str">
        <f>Inventory!F15</f>
        <v>hp</v>
      </c>
      <c r="F18" s="50" t="s">
        <v>164</v>
      </c>
      <c r="G18" s="4">
        <f>0.2*1.25</f>
        <v>0.25</v>
      </c>
      <c r="H18" s="3" t="s">
        <v>196</v>
      </c>
      <c r="I18" s="8">
        <f>Inventory!G15</f>
        <v>500</v>
      </c>
      <c r="J18" s="9" t="s">
        <v>5</v>
      </c>
      <c r="K18" s="8">
        <f>Inventory!I15</f>
        <v>8760</v>
      </c>
      <c r="L18" s="14" t="str">
        <f>Inventory!J15</f>
        <v>hr/yr</v>
      </c>
      <c r="M18" s="143">
        <f>Inventory!K15</f>
        <v>1</v>
      </c>
      <c r="N18" s="14" t="str">
        <f>Inventory!L15</f>
        <v>hr/yr</v>
      </c>
      <c r="O18" s="114">
        <f>+D18/1.341*G18/453.592*I18/2000</f>
        <v>7.0384401930736751E-2</v>
      </c>
      <c r="P18" s="29" t="s">
        <v>24</v>
      </c>
      <c r="Q18" s="116">
        <f t="shared" si="2"/>
        <v>1.2331347218265079</v>
      </c>
      <c r="R18" s="9" t="s">
        <v>24</v>
      </c>
      <c r="S18" s="128">
        <f t="shared" si="3"/>
        <v>1.407688038614735E-4</v>
      </c>
      <c r="T18" s="27" t="s">
        <v>24</v>
      </c>
    </row>
    <row r="19" spans="1:20" ht="17.100000000000001" customHeight="1" thickBot="1" x14ac:dyDescent="0.25">
      <c r="A19" s="15">
        <f>Inventory!A16</f>
        <v>27</v>
      </c>
      <c r="B19" s="16" t="str">
        <f>Inventory!B16</f>
        <v>Caterpillar D-330C</v>
      </c>
      <c r="C19" s="403" t="str">
        <f>Inventory!D16</f>
        <v>Diesel</v>
      </c>
      <c r="D19" s="409">
        <f>Inventory!E16</f>
        <v>85</v>
      </c>
      <c r="E19" s="17" t="str">
        <f>Inventory!F16</f>
        <v>hp</v>
      </c>
      <c r="F19" s="430" t="s">
        <v>108</v>
      </c>
      <c r="G19" s="75">
        <v>2.2000000000000001E-3</v>
      </c>
      <c r="H19" s="17" t="s">
        <v>169</v>
      </c>
      <c r="I19" s="81">
        <f>Inventory!G16</f>
        <v>3000</v>
      </c>
      <c r="J19" s="91" t="s">
        <v>5</v>
      </c>
      <c r="K19" s="81">
        <f>Inventory!I16</f>
        <v>8760</v>
      </c>
      <c r="L19" s="91" t="str">
        <f>Inventory!J16</f>
        <v>hr/yr</v>
      </c>
      <c r="M19" s="142">
        <f>Inventory!K16</f>
        <v>19.5</v>
      </c>
      <c r="N19" s="91" t="str">
        <f>Inventory!L16</f>
        <v>hr/yr</v>
      </c>
      <c r="O19" s="137">
        <f>$D19*$G19*I19/2000</f>
        <v>0.28050000000000003</v>
      </c>
      <c r="P19" s="82" t="s">
        <v>24</v>
      </c>
      <c r="Q19" s="134">
        <f t="shared" si="2"/>
        <v>0.81906000000000012</v>
      </c>
      <c r="R19" s="91" t="s">
        <v>24</v>
      </c>
      <c r="S19" s="140">
        <f t="shared" si="3"/>
        <v>1.8232500000000002E-3</v>
      </c>
      <c r="T19" s="83" t="s">
        <v>24</v>
      </c>
    </row>
    <row r="20" spans="1:20" ht="17.100000000000001" customHeight="1" thickBot="1" x14ac:dyDescent="0.25">
      <c r="H20" s="70" t="s">
        <v>23</v>
      </c>
      <c r="J20" s="33"/>
      <c r="O20" s="115">
        <f>SUM(O5:O19)</f>
        <v>12.491214185701937</v>
      </c>
      <c r="P20" s="36" t="s">
        <v>24</v>
      </c>
      <c r="Q20" s="115">
        <f>SUM(Q5:Q19)</f>
        <v>153.70297135279768</v>
      </c>
      <c r="R20" s="36" t="s">
        <v>24</v>
      </c>
      <c r="S20" s="115">
        <f>SUM(S5:S19)</f>
        <v>4.8897284611607024</v>
      </c>
      <c r="T20" s="36" t="s">
        <v>24</v>
      </c>
    </row>
    <row r="21" spans="1:20" ht="17.100000000000001" customHeight="1" x14ac:dyDescent="0.2"/>
    <row r="22" spans="1:20" ht="17.100000000000001" customHeight="1" x14ac:dyDescent="0.2">
      <c r="A22" s="517" t="s">
        <v>216</v>
      </c>
      <c r="B22" s="517"/>
      <c r="C22" s="517"/>
      <c r="D22" s="517"/>
      <c r="E22" s="517"/>
      <c r="F22" s="517"/>
      <c r="G22" s="517"/>
      <c r="H22" s="517"/>
      <c r="I22" s="517"/>
      <c r="J22" s="517"/>
      <c r="K22" s="517"/>
      <c r="L22" s="517"/>
      <c r="M22" s="517"/>
      <c r="N22" s="517"/>
      <c r="O22" s="517"/>
      <c r="P22" s="517"/>
    </row>
    <row r="23" spans="1:20" ht="17.100000000000001" customHeight="1" x14ac:dyDescent="0.2">
      <c r="A23" s="517" t="str">
        <f>A2</f>
        <v>Hilcorp Alaska, LLC - Grayling Platform</v>
      </c>
      <c r="B23" s="517"/>
      <c r="C23" s="517"/>
      <c r="D23" s="517"/>
      <c r="E23" s="517"/>
      <c r="F23" s="517"/>
      <c r="G23" s="517"/>
      <c r="H23" s="517"/>
      <c r="I23" s="517"/>
      <c r="J23" s="517"/>
      <c r="K23" s="517"/>
      <c r="L23" s="517"/>
      <c r="M23" s="517"/>
      <c r="N23" s="517"/>
      <c r="O23" s="517"/>
      <c r="P23" s="517"/>
    </row>
    <row r="24" spans="1:20" ht="17.100000000000001" customHeight="1" thickBot="1" x14ac:dyDescent="0.25"/>
    <row r="25" spans="1:20" ht="30.95" customHeight="1" thickBot="1" x14ac:dyDescent="0.25">
      <c r="A25" s="325" t="s">
        <v>0</v>
      </c>
      <c r="B25" s="396" t="s">
        <v>205</v>
      </c>
      <c r="C25" s="396" t="s">
        <v>1</v>
      </c>
      <c r="D25" s="583" t="s">
        <v>2</v>
      </c>
      <c r="E25" s="583"/>
      <c r="F25" s="397" t="s">
        <v>16</v>
      </c>
      <c r="G25" s="584" t="s">
        <v>17</v>
      </c>
      <c r="H25" s="585"/>
      <c r="I25" s="583" t="s">
        <v>3</v>
      </c>
      <c r="J25" s="583"/>
      <c r="K25" s="583" t="s">
        <v>193</v>
      </c>
      <c r="L25" s="583"/>
      <c r="M25" s="326"/>
      <c r="N25" s="326"/>
      <c r="O25" s="583" t="s">
        <v>193</v>
      </c>
      <c r="P25" s="586"/>
    </row>
    <row r="26" spans="1:20" ht="17.100000000000001" customHeight="1" x14ac:dyDescent="0.2">
      <c r="A26" s="74" t="str">
        <f>Inventory!A26</f>
        <v>N/A</v>
      </c>
      <c r="B26" s="32" t="str">
        <f>Inventory!B26</f>
        <v>Clayton ROG-60-1 Boiler</v>
      </c>
      <c r="C26" s="322" t="str">
        <f>Inventory!D26</f>
        <v>Fuel Gas</v>
      </c>
      <c r="D26" s="4">
        <f>Inventory!E26</f>
        <v>2.5</v>
      </c>
      <c r="E26" s="3" t="str">
        <f>Inventory!F26</f>
        <v>MMBtu/hr</v>
      </c>
      <c r="F26" s="32" t="s">
        <v>112</v>
      </c>
      <c r="G26" s="4">
        <v>7.6</v>
      </c>
      <c r="H26" s="3" t="s">
        <v>19</v>
      </c>
      <c r="I26" s="153">
        <f>Inventory!G26</f>
        <v>8760</v>
      </c>
      <c r="J26" s="154" t="str">
        <f>Inventory!H26</f>
        <v>hr/yr</v>
      </c>
      <c r="K26" s="323">
        <f>D26/$C$41*G26*I26/2000</f>
        <v>8.1828908554572269E-2</v>
      </c>
      <c r="L26" s="324" t="s">
        <v>24</v>
      </c>
      <c r="O26" s="323">
        <f>K26</f>
        <v>8.1828908554572269E-2</v>
      </c>
      <c r="P26" s="324" t="s">
        <v>24</v>
      </c>
    </row>
    <row r="27" spans="1:20" ht="17.100000000000001" customHeight="1" x14ac:dyDescent="0.2">
      <c r="A27" s="5" t="str">
        <f>Inventory!A27</f>
        <v>N/A</v>
      </c>
      <c r="B27" s="6" t="str">
        <f>Inventory!B27</f>
        <v>Portable Space Heaters</v>
      </c>
      <c r="C27" s="10" t="str">
        <f>Inventory!D27</f>
        <v>Diesel</v>
      </c>
      <c r="D27" s="11">
        <f>Inventory!E27</f>
        <v>8</v>
      </c>
      <c r="E27" s="12" t="str">
        <f>Inventory!F27</f>
        <v>MMBtu/hr</v>
      </c>
      <c r="F27" s="32" t="s">
        <v>153</v>
      </c>
      <c r="G27" s="4">
        <v>3.3</v>
      </c>
      <c r="H27" s="3" t="s">
        <v>22</v>
      </c>
      <c r="I27" s="19">
        <f>Inventory!G27</f>
        <v>8760</v>
      </c>
      <c r="J27" s="7" t="str">
        <f>Inventory!H27</f>
        <v>hr/yr</v>
      </c>
      <c r="K27" s="130">
        <f>G27*1000000/(1000*$C$43)*D27*I27/2000</f>
        <v>0.844029197080292</v>
      </c>
      <c r="L27" s="24" t="s">
        <v>24</v>
      </c>
      <c r="O27" s="116">
        <f t="shared" ref="O27:O30" si="6">K27</f>
        <v>0.844029197080292</v>
      </c>
      <c r="P27" s="24" t="s">
        <v>24</v>
      </c>
    </row>
    <row r="28" spans="1:20" ht="17.100000000000001" customHeight="1" x14ac:dyDescent="0.2">
      <c r="A28" s="5" t="str">
        <f>Inventory!A28</f>
        <v>N/A</v>
      </c>
      <c r="B28" s="6" t="str">
        <f>Inventory!B28</f>
        <v>Clayton Sigma Fire</v>
      </c>
      <c r="C28" s="10" t="str">
        <f>Inventory!D28</f>
        <v>Fuel Gas</v>
      </c>
      <c r="D28" s="11">
        <f>Inventory!E28</f>
        <v>50</v>
      </c>
      <c r="E28" s="12" t="str">
        <f>Inventory!F28</f>
        <v>bhp</v>
      </c>
      <c r="F28" s="6" t="s">
        <v>112</v>
      </c>
      <c r="G28" s="11">
        <v>7.6</v>
      </c>
      <c r="H28" s="12" t="s">
        <v>19</v>
      </c>
      <c r="I28" s="19">
        <f>Inventory!G28</f>
        <v>8760</v>
      </c>
      <c r="J28" s="7" t="str">
        <f>Inventory!H28</f>
        <v>hr/yr</v>
      </c>
      <c r="K28" s="128">
        <f>D28*C42/1000000/C41*G28*I28/2000</f>
        <v>5.4791000589970495E-2</v>
      </c>
      <c r="L28" s="24" t="s">
        <v>24</v>
      </c>
      <c r="O28" s="128">
        <f t="shared" si="6"/>
        <v>5.4791000589970495E-2</v>
      </c>
      <c r="P28" s="24" t="s">
        <v>24</v>
      </c>
    </row>
    <row r="29" spans="1:20" ht="17.100000000000001" customHeight="1" x14ac:dyDescent="0.2">
      <c r="A29" s="5" t="str">
        <f>Inventory!A29</f>
        <v>19a</v>
      </c>
      <c r="B29" s="6" t="str">
        <f>Inventory!B29</f>
        <v>Riello AR 400 Boiler</v>
      </c>
      <c r="C29" s="10" t="str">
        <f>Inventory!D29</f>
        <v>Fuel Gas</v>
      </c>
      <c r="D29" s="11">
        <f>Inventory!E29</f>
        <v>4</v>
      </c>
      <c r="E29" s="12" t="str">
        <f>Inventory!F29</f>
        <v>MMBtu/hr</v>
      </c>
      <c r="F29" s="6" t="s">
        <v>112</v>
      </c>
      <c r="G29" s="11">
        <v>7.6</v>
      </c>
      <c r="H29" s="12" t="s">
        <v>19</v>
      </c>
      <c r="I29" s="19">
        <f>Inventory!G29</f>
        <v>8760</v>
      </c>
      <c r="J29" s="7" t="str">
        <f>Inventory!H29</f>
        <v>hr/yr</v>
      </c>
      <c r="K29" s="130">
        <f>D29/$C$41*G29*I29/2000</f>
        <v>0.13092625368731564</v>
      </c>
      <c r="L29" s="24" t="s">
        <v>24</v>
      </c>
      <c r="O29" s="116">
        <f t="shared" si="6"/>
        <v>0.13092625368731564</v>
      </c>
      <c r="P29" s="24" t="s">
        <v>24</v>
      </c>
    </row>
    <row r="30" spans="1:20" ht="17.100000000000001" customHeight="1" x14ac:dyDescent="0.2">
      <c r="A30" s="5" t="str">
        <f>Inventory!A30</f>
        <v>19b</v>
      </c>
      <c r="B30" s="6" t="str">
        <f>Inventory!B30</f>
        <v>Riello AR 400 Boiler</v>
      </c>
      <c r="C30" s="10" t="str">
        <f>Inventory!D30</f>
        <v>Fuel Gas</v>
      </c>
      <c r="D30" s="11">
        <f>Inventory!E30</f>
        <v>4</v>
      </c>
      <c r="E30" s="12" t="str">
        <f>Inventory!F30</f>
        <v>MMBtu/hr</v>
      </c>
      <c r="F30" s="6" t="s">
        <v>112</v>
      </c>
      <c r="G30" s="11">
        <v>7.6</v>
      </c>
      <c r="H30" s="12" t="s">
        <v>19</v>
      </c>
      <c r="I30" s="19">
        <f>Inventory!G30</f>
        <v>8760</v>
      </c>
      <c r="J30" s="7" t="str">
        <f>Inventory!H30</f>
        <v>hr/yr</v>
      </c>
      <c r="K30" s="130">
        <f>D30/$C$41*G30*I30/2000</f>
        <v>0.13092625368731564</v>
      </c>
      <c r="L30" s="24" t="s">
        <v>24</v>
      </c>
      <c r="O30" s="116">
        <f t="shared" si="6"/>
        <v>0.13092625368731564</v>
      </c>
      <c r="P30" s="24" t="s">
        <v>24</v>
      </c>
    </row>
    <row r="31" spans="1:20" ht="17.100000000000001" customHeight="1" x14ac:dyDescent="0.2">
      <c r="A31" s="5" t="str">
        <f>Inventory!A31</f>
        <v>20a</v>
      </c>
      <c r="B31" s="6" t="str">
        <f>Inventory!B31</f>
        <v>Riello AR 400 Boiler</v>
      </c>
      <c r="C31" s="10" t="str">
        <f>Inventory!D31</f>
        <v>Fuel Gas</v>
      </c>
      <c r="D31" s="13">
        <f>Inventory!E31</f>
        <v>4</v>
      </c>
      <c r="E31" s="12" t="str">
        <f>Inventory!F31</f>
        <v>MMBtu/hr</v>
      </c>
      <c r="F31" s="6" t="s">
        <v>112</v>
      </c>
      <c r="G31" s="11">
        <v>7.6</v>
      </c>
      <c r="H31" s="12" t="s">
        <v>19</v>
      </c>
      <c r="I31" s="19">
        <f>Inventory!G31</f>
        <v>8760</v>
      </c>
      <c r="J31" s="7" t="str">
        <f>Inventory!H31</f>
        <v>hr/yr</v>
      </c>
      <c r="K31" s="130">
        <f>D31/$C$41*G31*I31/2000</f>
        <v>0.13092625368731564</v>
      </c>
      <c r="L31" s="24" t="s">
        <v>24</v>
      </c>
      <c r="O31" s="116">
        <f t="shared" ref="O31" si="7">K31</f>
        <v>0.13092625368731564</v>
      </c>
      <c r="P31" s="24" t="s">
        <v>24</v>
      </c>
    </row>
    <row r="32" spans="1:20" ht="17.100000000000001" customHeight="1" thickBot="1" x14ac:dyDescent="0.25">
      <c r="A32" s="15" t="str">
        <f>Inventory!A32</f>
        <v>N/A</v>
      </c>
      <c r="B32" s="16" t="str">
        <f>Inventory!B32</f>
        <v>Diesel Fuel Tank (G-T-3090)</v>
      </c>
      <c r="C32" s="403" t="str">
        <f>Inventory!D32</f>
        <v>N/A</v>
      </c>
      <c r="D32" s="409">
        <f>Inventory!E32</f>
        <v>2547</v>
      </c>
      <c r="E32" s="17" t="str">
        <f>Inventory!F32</f>
        <v>barrels</v>
      </c>
      <c r="F32" s="77" t="s">
        <v>274</v>
      </c>
      <c r="G32" s="546" t="s">
        <v>274</v>
      </c>
      <c r="H32" s="547"/>
      <c r="I32" s="20">
        <f>Inventory!G32</f>
        <v>3</v>
      </c>
      <c r="J32" s="21" t="str">
        <f>Inventory!H32</f>
        <v>turnovers/yr</v>
      </c>
      <c r="K32" s="131" t="e">
        <f>D32/$C$48*G32*I32/2000</f>
        <v>#DIV/0!</v>
      </c>
      <c r="L32" s="25" t="s">
        <v>24</v>
      </c>
      <c r="M32" s="371"/>
      <c r="N32" s="371"/>
      <c r="O32" s="404">
        <v>0</v>
      </c>
      <c r="P32" s="25" t="s">
        <v>24</v>
      </c>
    </row>
    <row r="33" spans="1:16" ht="17.100000000000001" customHeight="1" thickBot="1" x14ac:dyDescent="0.25">
      <c r="H33" s="70" t="s">
        <v>23</v>
      </c>
      <c r="I33" s="22"/>
      <c r="K33" s="132" t="e">
        <f>SUM(K26:K32)</f>
        <v>#DIV/0!</v>
      </c>
      <c r="L33" s="36" t="s">
        <v>24</v>
      </c>
      <c r="O33" s="132">
        <f>SUM(O26:O32)</f>
        <v>1.3734278672867819</v>
      </c>
      <c r="P33" s="36" t="s">
        <v>24</v>
      </c>
    </row>
    <row r="34" spans="1:16" s="35" customFormat="1" ht="17.100000000000001" customHeight="1" x14ac:dyDescent="0.2">
      <c r="A34" s="446" t="s">
        <v>25</v>
      </c>
      <c r="B34" s="55"/>
      <c r="C34" s="55"/>
      <c r="D34" s="84"/>
    </row>
    <row r="35" spans="1:16" ht="17.100000000000001" customHeight="1" x14ac:dyDescent="0.2">
      <c r="A35" s="320">
        <v>1</v>
      </c>
      <c r="B35" s="35" t="s">
        <v>171</v>
      </c>
      <c r="C35" s="35"/>
      <c r="D35" s="35"/>
      <c r="E35" s="35"/>
    </row>
    <row r="36" spans="1:16" ht="17.100000000000001" customHeight="1" x14ac:dyDescent="0.2">
      <c r="A36" s="446" t="s">
        <v>168</v>
      </c>
      <c r="B36" s="55"/>
      <c r="C36" s="55"/>
      <c r="D36" s="35"/>
      <c r="E36" s="35"/>
    </row>
    <row r="37" spans="1:16" ht="17.100000000000001" customHeight="1" x14ac:dyDescent="0.2">
      <c r="A37" s="35"/>
      <c r="B37" s="56" t="s">
        <v>101</v>
      </c>
      <c r="C37" s="84">
        <v>8960</v>
      </c>
      <c r="D37" s="34" t="s">
        <v>15</v>
      </c>
      <c r="E37" s="35"/>
    </row>
    <row r="38" spans="1:16" ht="17.100000000000001" customHeight="1" x14ac:dyDescent="0.2">
      <c r="A38" s="35"/>
      <c r="B38" s="56" t="s">
        <v>102</v>
      </c>
      <c r="C38" s="84">
        <v>11138</v>
      </c>
      <c r="D38" s="34" t="s">
        <v>15</v>
      </c>
      <c r="E38" s="35"/>
    </row>
    <row r="39" spans="1:16" ht="17.100000000000001" customHeight="1" x14ac:dyDescent="0.2">
      <c r="A39" s="35"/>
      <c r="B39" s="56" t="s">
        <v>103</v>
      </c>
      <c r="C39" s="84">
        <v>16122</v>
      </c>
      <c r="D39" s="34" t="s">
        <v>104</v>
      </c>
      <c r="E39" s="35"/>
    </row>
    <row r="40" spans="1:16" ht="17.100000000000001" customHeight="1" x14ac:dyDescent="0.2">
      <c r="A40" s="35"/>
      <c r="B40" s="56" t="s">
        <v>105</v>
      </c>
      <c r="C40" s="84">
        <v>11277</v>
      </c>
      <c r="D40" s="34" t="s">
        <v>15</v>
      </c>
      <c r="E40" s="35"/>
    </row>
    <row r="41" spans="1:16" ht="17.100000000000001" customHeight="1" x14ac:dyDescent="0.2">
      <c r="A41" s="35"/>
      <c r="B41" s="56" t="s">
        <v>13</v>
      </c>
      <c r="C41" s="84">
        <v>1017</v>
      </c>
      <c r="D41" s="34" t="s">
        <v>14</v>
      </c>
      <c r="E41" s="35"/>
    </row>
    <row r="42" spans="1:16" ht="17.100000000000001" customHeight="1" x14ac:dyDescent="0.2">
      <c r="A42" s="35"/>
      <c r="B42" s="56" t="s">
        <v>106</v>
      </c>
      <c r="C42" s="84">
        <v>33479</v>
      </c>
      <c r="D42" s="34" t="s">
        <v>107</v>
      </c>
      <c r="E42" s="35"/>
    </row>
    <row r="43" spans="1:16" ht="17.100000000000001" customHeight="1" x14ac:dyDescent="0.2">
      <c r="A43" s="35"/>
      <c r="B43" s="56" t="s">
        <v>11</v>
      </c>
      <c r="C43" s="84">
        <v>137000</v>
      </c>
      <c r="D43" s="34" t="s">
        <v>12</v>
      </c>
      <c r="E43" s="35"/>
    </row>
    <row r="44" spans="1:16" x14ac:dyDescent="0.2">
      <c r="A44" s="35"/>
      <c r="B44" s="35"/>
      <c r="C44" s="35"/>
      <c r="D44" s="35"/>
      <c r="E44" s="35"/>
    </row>
  </sheetData>
  <mergeCells count="33">
    <mergeCell ref="A23:P23"/>
    <mergeCell ref="O25:P25"/>
    <mergeCell ref="F13:F14"/>
    <mergeCell ref="G13:G14"/>
    <mergeCell ref="H13:H14"/>
    <mergeCell ref="I13:I14"/>
    <mergeCell ref="O13:O14"/>
    <mergeCell ref="A1:T1"/>
    <mergeCell ref="A2:T2"/>
    <mergeCell ref="D4:E4"/>
    <mergeCell ref="G4:H4"/>
    <mergeCell ref="I4:J4"/>
    <mergeCell ref="O4:P4"/>
    <mergeCell ref="K4:L4"/>
    <mergeCell ref="Q4:R4"/>
    <mergeCell ref="M4:N4"/>
    <mergeCell ref="S4:T4"/>
    <mergeCell ref="G32:H32"/>
    <mergeCell ref="T13:T14"/>
    <mergeCell ref="J13:J14"/>
    <mergeCell ref="K13:K14"/>
    <mergeCell ref="L13:L14"/>
    <mergeCell ref="Q13:Q14"/>
    <mergeCell ref="R13:R14"/>
    <mergeCell ref="M13:M14"/>
    <mergeCell ref="N13:N14"/>
    <mergeCell ref="S13:S14"/>
    <mergeCell ref="P13:P14"/>
    <mergeCell ref="A22:P22"/>
    <mergeCell ref="D25:E25"/>
    <mergeCell ref="G25:H25"/>
    <mergeCell ref="I25:J25"/>
    <mergeCell ref="K25:L25"/>
  </mergeCells>
  <printOptions horizontalCentered="1"/>
  <pageMargins left="0.5" right="0.5" top="0.5" bottom="0.5" header="0.3" footer="0.3"/>
  <pageSetup scale="60" orientation="landscape" r:id="rId1"/>
  <headerFooter scaleWithDoc="0">
    <oddFooter>&amp;L&amp;"Arial,Regular"&amp;9Hilcorp Alaska, LLC
Grayling Platform
Title V Renewal Application&amp;C&amp;"Arial,Regular"&amp;9Page D-&amp;P&amp;R&amp;"Arial,Regular"&amp;9December 2022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9FE79-ADB5-4BDC-B66D-196EEEF409C4}">
  <dimension ref="A1:T44"/>
  <sheetViews>
    <sheetView view="pageBreakPreview" topLeftCell="A20" zoomScaleNormal="100" zoomScaleSheetLayoutView="100" workbookViewId="0">
      <selection activeCell="E41" sqref="E41"/>
    </sheetView>
  </sheetViews>
  <sheetFormatPr defaultColWidth="9.140625" defaultRowHeight="12.75" x14ac:dyDescent="0.2"/>
  <cols>
    <col min="1" max="1" width="6.7109375" style="1" customWidth="1"/>
    <col min="2" max="2" width="30.7109375" style="1" customWidth="1"/>
    <col min="3" max="3" width="11.7109375" style="1" customWidth="1"/>
    <col min="4" max="5" width="10.7109375" style="1" customWidth="1"/>
    <col min="6" max="6" width="25.7109375" style="1" customWidth="1"/>
    <col min="7" max="7" width="10.7109375" style="1" customWidth="1"/>
    <col min="8" max="8" width="13" style="1" customWidth="1"/>
    <col min="9" max="14" width="10.7109375" style="1" hidden="1" customWidth="1"/>
    <col min="15" max="20" width="10.7109375" style="1" customWidth="1"/>
    <col min="21" max="16384" width="9.140625" style="1"/>
  </cols>
  <sheetData>
    <row r="1" spans="1:20" ht="17.100000000000001" customHeight="1" x14ac:dyDescent="0.2">
      <c r="A1" s="517" t="s">
        <v>217</v>
      </c>
      <c r="B1" s="517"/>
      <c r="C1" s="517"/>
      <c r="D1" s="517"/>
      <c r="E1" s="517"/>
      <c r="F1" s="517"/>
      <c r="G1" s="517"/>
      <c r="H1" s="517"/>
      <c r="I1" s="517"/>
      <c r="J1" s="517"/>
      <c r="K1" s="517"/>
      <c r="L1" s="517"/>
      <c r="M1" s="517"/>
      <c r="N1" s="517"/>
      <c r="O1" s="517"/>
      <c r="P1" s="517"/>
      <c r="Q1" s="517"/>
      <c r="R1" s="517"/>
      <c r="S1" s="517"/>
      <c r="T1" s="517"/>
    </row>
    <row r="2" spans="1:20" ht="17.100000000000001" customHeight="1" x14ac:dyDescent="0.2">
      <c r="A2" s="517" t="str">
        <f>Inventory!A2</f>
        <v>Hilcorp Alaska, LLC - Grayling Platform</v>
      </c>
      <c r="B2" s="517"/>
      <c r="C2" s="517"/>
      <c r="D2" s="517"/>
      <c r="E2" s="517"/>
      <c r="F2" s="517"/>
      <c r="G2" s="517"/>
      <c r="H2" s="517"/>
      <c r="I2" s="517"/>
      <c r="J2" s="517"/>
      <c r="K2" s="517"/>
      <c r="L2" s="517"/>
      <c r="M2" s="517"/>
      <c r="N2" s="517"/>
      <c r="O2" s="517"/>
      <c r="P2" s="517"/>
      <c r="Q2" s="517"/>
      <c r="R2" s="517"/>
      <c r="S2" s="517"/>
      <c r="T2" s="517"/>
    </row>
    <row r="3" spans="1:20" ht="17.100000000000001" customHeight="1" thickBot="1" x14ac:dyDescent="0.25"/>
    <row r="4" spans="1:20" s="31" customFormat="1" ht="30.95" customHeight="1" thickBot="1" x14ac:dyDescent="0.3">
      <c r="A4" s="30" t="s">
        <v>0</v>
      </c>
      <c r="B4" s="90" t="s">
        <v>205</v>
      </c>
      <c r="C4" s="90" t="s">
        <v>1</v>
      </c>
      <c r="D4" s="533" t="s">
        <v>2</v>
      </c>
      <c r="E4" s="533"/>
      <c r="F4" s="90" t="s">
        <v>16</v>
      </c>
      <c r="G4" s="559" t="s">
        <v>17</v>
      </c>
      <c r="H4" s="560"/>
      <c r="I4" s="525" t="s">
        <v>192</v>
      </c>
      <c r="J4" s="525"/>
      <c r="K4" s="525" t="s">
        <v>193</v>
      </c>
      <c r="L4" s="525"/>
      <c r="M4" s="525" t="s">
        <v>175</v>
      </c>
      <c r="N4" s="525"/>
      <c r="O4" s="548" t="s">
        <v>157</v>
      </c>
      <c r="P4" s="562"/>
      <c r="Q4" s="548" t="s">
        <v>120</v>
      </c>
      <c r="R4" s="561"/>
      <c r="S4" s="562" t="s">
        <v>160</v>
      </c>
      <c r="T4" s="549"/>
    </row>
    <row r="5" spans="1:20" ht="17.100000000000001" customHeight="1" thickTop="1" x14ac:dyDescent="0.2">
      <c r="A5" s="5">
        <f>Inventory!A5</f>
        <v>1</v>
      </c>
      <c r="B5" s="6" t="str">
        <f>Inventory!B5</f>
        <v>Solar Centaur T4500</v>
      </c>
      <c r="C5" s="6" t="str">
        <f>Inventory!D5</f>
        <v>Fuel Gas</v>
      </c>
      <c r="D5" s="19">
        <f>Inventory!E5</f>
        <v>4500</v>
      </c>
      <c r="E5" s="7" t="str">
        <f>Inventory!F5</f>
        <v>hp</v>
      </c>
      <c r="F5" s="6" t="s">
        <v>113</v>
      </c>
      <c r="G5" s="11">
        <v>2.0999999999999999E-3</v>
      </c>
      <c r="H5" s="12" t="s">
        <v>20</v>
      </c>
      <c r="I5" s="8">
        <f>Inventory!G5</f>
        <v>8760</v>
      </c>
      <c r="J5" s="9" t="str">
        <f>Inventory!H5</f>
        <v>hr/yr</v>
      </c>
      <c r="K5" s="8">
        <f>Inventory!I5</f>
        <v>8760</v>
      </c>
      <c r="L5" s="9" t="str">
        <f>Inventory!J5</f>
        <v>hr/yr</v>
      </c>
      <c r="M5" s="143">
        <f>Inventory!K5</f>
        <v>2985</v>
      </c>
      <c r="N5" s="9" t="str">
        <f>Inventory!L5</f>
        <v>hr/yr</v>
      </c>
      <c r="O5" s="114">
        <f>$G5/1000000*$D5*$C$38*I5/2000</f>
        <v>0.37086335999999998</v>
      </c>
      <c r="P5" s="28" t="s">
        <v>24</v>
      </c>
      <c r="Q5" s="116">
        <f>+O5/I5*K5</f>
        <v>0.37086335999999998</v>
      </c>
      <c r="R5" s="9" t="s">
        <v>24</v>
      </c>
      <c r="S5" s="116">
        <f>+Q5/K5*M5</f>
        <v>0.12637295999999998</v>
      </c>
      <c r="T5" s="26" t="s">
        <v>24</v>
      </c>
    </row>
    <row r="6" spans="1:20" ht="17.100000000000001" customHeight="1" x14ac:dyDescent="0.2">
      <c r="A6" s="5">
        <f>Inventory!A6</f>
        <v>3</v>
      </c>
      <c r="B6" s="6" t="str">
        <f>Inventory!B6</f>
        <v>Solar Centaur T4500</v>
      </c>
      <c r="C6" s="10" t="str">
        <f>Inventory!D6</f>
        <v>Fuel Gas</v>
      </c>
      <c r="D6" s="13">
        <f>Inventory!E6</f>
        <v>4500</v>
      </c>
      <c r="E6" s="12" t="str">
        <f>Inventory!F6</f>
        <v>hp</v>
      </c>
      <c r="F6" s="6" t="s">
        <v>113</v>
      </c>
      <c r="G6" s="11">
        <v>2.0999999999999999E-3</v>
      </c>
      <c r="H6" s="12" t="s">
        <v>20</v>
      </c>
      <c r="I6" s="8">
        <f>Inventory!G6</f>
        <v>8760</v>
      </c>
      <c r="J6" s="9" t="str">
        <f>Inventory!H6</f>
        <v>hr/yr</v>
      </c>
      <c r="K6" s="8">
        <f>Inventory!I6</f>
        <v>8760</v>
      </c>
      <c r="L6" s="9" t="str">
        <f>Inventory!J6</f>
        <v>hr/yr</v>
      </c>
      <c r="M6" s="143">
        <f>Inventory!K6</f>
        <v>2369</v>
      </c>
      <c r="N6" s="9" t="str">
        <f>Inventory!L6</f>
        <v>hr/yr</v>
      </c>
      <c r="O6" s="114">
        <f>$G6/1000000*$D6*$C$38*I6/2000</f>
        <v>0.37086335999999998</v>
      </c>
      <c r="P6" s="28" t="s">
        <v>24</v>
      </c>
      <c r="Q6" s="116">
        <f t="shared" ref="Q6:Q8" si="0">+O6/I6*K6</f>
        <v>0.37086335999999998</v>
      </c>
      <c r="R6" s="9" t="s">
        <v>24</v>
      </c>
      <c r="S6" s="116">
        <f t="shared" ref="S6:S8" si="1">+Q6/K6*M6</f>
        <v>0.10029398399999999</v>
      </c>
      <c r="T6" s="26" t="s">
        <v>24</v>
      </c>
    </row>
    <row r="7" spans="1:20" ht="17.100000000000001" customHeight="1" x14ac:dyDescent="0.2">
      <c r="A7" s="5" t="str">
        <f>Inventory!A7</f>
        <v>4a</v>
      </c>
      <c r="B7" s="6" t="str">
        <f>Inventory!B7</f>
        <v>Solar Centaur T4500</v>
      </c>
      <c r="C7" s="10" t="str">
        <f>Inventory!D7</f>
        <v>Fuel Gas</v>
      </c>
      <c r="D7" s="13">
        <f>Inventory!E7</f>
        <v>4500</v>
      </c>
      <c r="E7" s="12" t="str">
        <f>Inventory!F7</f>
        <v>hp</v>
      </c>
      <c r="F7" s="6" t="s">
        <v>113</v>
      </c>
      <c r="G7" s="11">
        <v>2.0999999999999999E-3</v>
      </c>
      <c r="H7" s="12" t="s">
        <v>20</v>
      </c>
      <c r="I7" s="8">
        <f>Inventory!G7</f>
        <v>8760</v>
      </c>
      <c r="J7" s="9" t="str">
        <f>Inventory!H7</f>
        <v>hr/yr</v>
      </c>
      <c r="K7" s="8">
        <f>Inventory!I7</f>
        <v>8760</v>
      </c>
      <c r="L7" s="9" t="str">
        <f>Inventory!J7</f>
        <v>hr/yr</v>
      </c>
      <c r="M7" s="143">
        <f>Inventory!K7</f>
        <v>8562</v>
      </c>
      <c r="N7" s="9" t="str">
        <f>Inventory!L7</f>
        <v>hr/yr</v>
      </c>
      <c r="O7" s="114">
        <f>$G7/1000000*$D7*$C$38*I7/2000</f>
        <v>0.37086335999999998</v>
      </c>
      <c r="P7" s="28" t="s">
        <v>24</v>
      </c>
      <c r="Q7" s="116">
        <f t="shared" si="0"/>
        <v>0.37086335999999998</v>
      </c>
      <c r="R7" s="9" t="s">
        <v>24</v>
      </c>
      <c r="S7" s="116">
        <f t="shared" si="1"/>
        <v>0.36248083199999998</v>
      </c>
      <c r="T7" s="26" t="s">
        <v>24</v>
      </c>
    </row>
    <row r="8" spans="1:20" ht="17.100000000000001" customHeight="1" x14ac:dyDescent="0.2">
      <c r="A8" s="5">
        <f>Inventory!A8</f>
        <v>14</v>
      </c>
      <c r="B8" s="6" t="str">
        <f>Inventory!B8</f>
        <v>Solar Saturn T1200</v>
      </c>
      <c r="C8" s="10" t="str">
        <f>Inventory!D8</f>
        <v>Fuel Gas</v>
      </c>
      <c r="D8" s="13">
        <f>Inventory!E8</f>
        <v>1100</v>
      </c>
      <c r="E8" s="12" t="str">
        <f>Inventory!F8</f>
        <v>hp</v>
      </c>
      <c r="F8" s="6" t="s">
        <v>113</v>
      </c>
      <c r="G8" s="11">
        <v>2.0999999999999999E-3</v>
      </c>
      <c r="H8" s="12" t="s">
        <v>20</v>
      </c>
      <c r="I8" s="8">
        <f>Inventory!G8</f>
        <v>8760</v>
      </c>
      <c r="J8" s="9" t="str">
        <f>Inventory!H8</f>
        <v>hr/yr</v>
      </c>
      <c r="K8" s="8">
        <f>Inventory!I8</f>
        <v>8760</v>
      </c>
      <c r="L8" s="9" t="str">
        <f>Inventory!J8</f>
        <v>hr/yr</v>
      </c>
      <c r="M8" s="143">
        <f>Inventory!K8</f>
        <v>0</v>
      </c>
      <c r="N8" s="9" t="str">
        <f>Inventory!L8</f>
        <v>hr/yr</v>
      </c>
      <c r="O8" s="114">
        <f>$G8/1000000*$D8*$C$39*I8/2000</f>
        <v>0.1126920564</v>
      </c>
      <c r="P8" s="28" t="s">
        <v>24</v>
      </c>
      <c r="Q8" s="116">
        <f t="shared" si="0"/>
        <v>0.1126920564</v>
      </c>
      <c r="R8" s="9" t="s">
        <v>24</v>
      </c>
      <c r="S8" s="37">
        <f t="shared" si="1"/>
        <v>0</v>
      </c>
      <c r="T8" s="26" t="s">
        <v>24</v>
      </c>
    </row>
    <row r="9" spans="1:20" ht="17.100000000000001" customHeight="1" x14ac:dyDescent="0.2">
      <c r="A9" s="5">
        <f>Inventory!A9</f>
        <v>15</v>
      </c>
      <c r="B9" s="6" t="str">
        <f>Inventory!B9</f>
        <v>Solar Saturn T1200</v>
      </c>
      <c r="C9" s="10" t="str">
        <f>Inventory!D9</f>
        <v>Fuel Gas</v>
      </c>
      <c r="D9" s="11">
        <f>Inventory!E9</f>
        <v>800</v>
      </c>
      <c r="E9" s="12" t="str">
        <f>Inventory!F9</f>
        <v>kW</v>
      </c>
      <c r="F9" s="6" t="s">
        <v>113</v>
      </c>
      <c r="G9" s="11">
        <v>2.0999999999999999E-3</v>
      </c>
      <c r="H9" s="12" t="s">
        <v>20</v>
      </c>
      <c r="I9" s="8">
        <f>Inventory!G9</f>
        <v>8760</v>
      </c>
      <c r="J9" s="9" t="str">
        <f>Inventory!H9</f>
        <v>hr/yr</v>
      </c>
      <c r="K9" s="8">
        <f>Inventory!I9</f>
        <v>8760</v>
      </c>
      <c r="L9" s="9" t="str">
        <f>Inventory!J9</f>
        <v>hr/yr</v>
      </c>
      <c r="M9" s="143">
        <f>Inventory!K9</f>
        <v>1599</v>
      </c>
      <c r="N9" s="9" t="str">
        <f>Inventory!L9</f>
        <v>hr/yr</v>
      </c>
      <c r="O9" s="114">
        <f>$G9/1000000*$D9*$C$40*I9/2000</f>
        <v>0.11863212479999999</v>
      </c>
      <c r="P9" s="28" t="s">
        <v>24</v>
      </c>
      <c r="Q9" s="116">
        <f t="shared" ref="Q9:Q19" si="2">+O9/I9*K9</f>
        <v>0.11863212479999999</v>
      </c>
      <c r="R9" s="9" t="s">
        <v>24</v>
      </c>
      <c r="S9" s="128">
        <f t="shared" ref="S9:S19" si="3">+Q9/K9*M9</f>
        <v>2.1654425519999996E-2</v>
      </c>
      <c r="T9" s="26" t="s">
        <v>24</v>
      </c>
    </row>
    <row r="10" spans="1:20" ht="17.100000000000001" customHeight="1" x14ac:dyDescent="0.2">
      <c r="A10" s="5">
        <f>Inventory!A10</f>
        <v>16</v>
      </c>
      <c r="B10" s="6" t="str">
        <f>Inventory!B10</f>
        <v>Solar Saturn T1200</v>
      </c>
      <c r="C10" s="10" t="str">
        <f>Inventory!D10</f>
        <v>Fuel Gas</v>
      </c>
      <c r="D10" s="11">
        <f>Inventory!E10</f>
        <v>750</v>
      </c>
      <c r="E10" s="12" t="str">
        <f>Inventory!F10</f>
        <v>kW</v>
      </c>
      <c r="F10" s="6" t="s">
        <v>113</v>
      </c>
      <c r="G10" s="11">
        <v>2.0999999999999999E-3</v>
      </c>
      <c r="H10" s="12" t="s">
        <v>20</v>
      </c>
      <c r="I10" s="8">
        <f>Inventory!G10</f>
        <v>8760</v>
      </c>
      <c r="J10" s="9" t="str">
        <f>Inventory!H10</f>
        <v>hr/yr</v>
      </c>
      <c r="K10" s="8">
        <f>Inventory!I10</f>
        <v>8760</v>
      </c>
      <c r="L10" s="9" t="str">
        <f>Inventory!J10</f>
        <v>hr/yr</v>
      </c>
      <c r="M10" s="143">
        <f>Inventory!K10</f>
        <v>1868</v>
      </c>
      <c r="N10" s="9" t="str">
        <f>Inventory!L10</f>
        <v>hr/yr</v>
      </c>
      <c r="O10" s="114">
        <f>$G10/1000000*$D10*$C$40*I10/2000</f>
        <v>0.11121761699999998</v>
      </c>
      <c r="P10" s="28" t="s">
        <v>24</v>
      </c>
      <c r="Q10" s="116">
        <f t="shared" si="2"/>
        <v>0.11121761699999998</v>
      </c>
      <c r="R10" s="9" t="s">
        <v>24</v>
      </c>
      <c r="S10" s="128">
        <f t="shared" si="3"/>
        <v>2.3716268099999993E-2</v>
      </c>
      <c r="T10" s="26" t="s">
        <v>24</v>
      </c>
    </row>
    <row r="11" spans="1:20" ht="17.100000000000001" customHeight="1" x14ac:dyDescent="0.2">
      <c r="A11" s="5">
        <f>Inventory!A11</f>
        <v>17</v>
      </c>
      <c r="B11" s="6" t="str">
        <f>Inventory!B11</f>
        <v>Solar Saturn T1200</v>
      </c>
      <c r="C11" s="10" t="str">
        <f>Inventory!D11</f>
        <v>Fuel Gas</v>
      </c>
      <c r="D11" s="11">
        <f>Inventory!E11</f>
        <v>800</v>
      </c>
      <c r="E11" s="12" t="str">
        <f>Inventory!F11</f>
        <v>kW</v>
      </c>
      <c r="F11" s="6" t="s">
        <v>113</v>
      </c>
      <c r="G11" s="11">
        <v>2.0999999999999999E-3</v>
      </c>
      <c r="H11" s="12" t="s">
        <v>20</v>
      </c>
      <c r="I11" s="8">
        <f>Inventory!G11</f>
        <v>8760</v>
      </c>
      <c r="J11" s="9" t="str">
        <f>Inventory!H11</f>
        <v>hr/yr</v>
      </c>
      <c r="K11" s="8">
        <f>Inventory!I11</f>
        <v>8760</v>
      </c>
      <c r="L11" s="9" t="str">
        <f>Inventory!J11</f>
        <v>hr/yr</v>
      </c>
      <c r="M11" s="143">
        <f>Inventory!K11</f>
        <v>1384</v>
      </c>
      <c r="N11" s="9" t="str">
        <f>Inventory!L11</f>
        <v>hr/yr</v>
      </c>
      <c r="O11" s="114">
        <f>$G11/1000000*$D11*$C$40*I11/2000</f>
        <v>0.11863212479999999</v>
      </c>
      <c r="P11" s="28" t="s">
        <v>24</v>
      </c>
      <c r="Q11" s="116">
        <f t="shared" si="2"/>
        <v>0.11863212479999999</v>
      </c>
      <c r="R11" s="9" t="s">
        <v>24</v>
      </c>
      <c r="S11" s="128">
        <f t="shared" si="3"/>
        <v>1.8742792319999996E-2</v>
      </c>
      <c r="T11" s="26" t="s">
        <v>24</v>
      </c>
    </row>
    <row r="12" spans="1:20" ht="17.100000000000001" customHeight="1" x14ac:dyDescent="0.2">
      <c r="A12" s="5">
        <f>Inventory!A12</f>
        <v>18</v>
      </c>
      <c r="B12" s="6" t="str">
        <f>Inventory!B12</f>
        <v>Solar Saturn T1200</v>
      </c>
      <c r="C12" s="10" t="str">
        <f>Inventory!D12</f>
        <v>Fuel Gas</v>
      </c>
      <c r="D12" s="11">
        <f>Inventory!E12</f>
        <v>800</v>
      </c>
      <c r="E12" s="12" t="str">
        <f>Inventory!F12</f>
        <v>kW</v>
      </c>
      <c r="F12" s="6" t="s">
        <v>113</v>
      </c>
      <c r="G12" s="11">
        <v>2.0999999999999999E-3</v>
      </c>
      <c r="H12" s="12" t="s">
        <v>20</v>
      </c>
      <c r="I12" s="8">
        <f>Inventory!G12</f>
        <v>8760</v>
      </c>
      <c r="J12" s="9" t="str">
        <f>Inventory!H12</f>
        <v>hr/yr</v>
      </c>
      <c r="K12" s="8">
        <f>Inventory!I12</f>
        <v>8760</v>
      </c>
      <c r="L12" s="9" t="str">
        <f>Inventory!J12</f>
        <v>hr/yr</v>
      </c>
      <c r="M12" s="143">
        <f>Inventory!K12</f>
        <v>1380</v>
      </c>
      <c r="N12" s="9" t="str">
        <f>Inventory!L12</f>
        <v>hr/yr</v>
      </c>
      <c r="O12" s="114">
        <f>$G12/1000000*$D12*$C$40*I12/2000</f>
        <v>0.11863212479999999</v>
      </c>
      <c r="P12" s="28" t="s">
        <v>24</v>
      </c>
      <c r="Q12" s="116">
        <f t="shared" si="2"/>
        <v>0.11863212479999999</v>
      </c>
      <c r="R12" s="9" t="s">
        <v>24</v>
      </c>
      <c r="S12" s="128">
        <f t="shared" si="3"/>
        <v>1.8688622399999997E-2</v>
      </c>
      <c r="T12" s="26" t="s">
        <v>24</v>
      </c>
    </row>
    <row r="13" spans="1:20" ht="37.5" customHeight="1" x14ac:dyDescent="0.2">
      <c r="A13" s="123">
        <f>Inventory!A17</f>
        <v>28</v>
      </c>
      <c r="B13" s="125" t="str">
        <f>Inventory!B17</f>
        <v>Flare (South)</v>
      </c>
      <c r="C13" s="365" t="str">
        <f>Inventory!D17</f>
        <v>Fuel Gas</v>
      </c>
      <c r="D13" s="444">
        <f>Inventory!E17</f>
        <v>0.12</v>
      </c>
      <c r="E13" s="445" t="str">
        <f>Inventory!F17</f>
        <v>MMscf/day, pilot/purge combined</v>
      </c>
      <c r="F13" s="567" t="s">
        <v>365</v>
      </c>
      <c r="G13" s="587">
        <v>48.1</v>
      </c>
      <c r="H13" s="553" t="s">
        <v>357</v>
      </c>
      <c r="I13" s="581">
        <f>Inventory!G17</f>
        <v>193.762</v>
      </c>
      <c r="J13" s="575" t="str">
        <f>Inventory!H17</f>
        <v>MMscf/yr, combined 6</v>
      </c>
      <c r="K13" s="563">
        <f>Inventory!I17</f>
        <v>14.12</v>
      </c>
      <c r="L13" s="575" t="str">
        <f>Inventory!J17</f>
        <v>MMscf/day, each</v>
      </c>
      <c r="M13" s="573">
        <f>Inventory!K17</f>
        <v>49829</v>
      </c>
      <c r="N13" s="575" t="str">
        <f>Inventory!L17</f>
        <v>Mscf/yr,  combined</v>
      </c>
      <c r="O13" s="577">
        <f>+I13*1000000/379.9*G13/100*45.1/2000*0.02</f>
        <v>110.64223327717822</v>
      </c>
      <c r="P13" s="579" t="s">
        <v>24</v>
      </c>
      <c r="Q13" s="573">
        <f>+K13*365*1000000/379.9*G13/100*45.1/2000*0.02</f>
        <v>2942.9296862332199</v>
      </c>
      <c r="R13" s="553" t="s">
        <v>24</v>
      </c>
      <c r="S13" s="569">
        <f>+M13*1000/379.9*G13/100*45.1/2000*0.02</f>
        <v>28.453421424058966</v>
      </c>
      <c r="T13" s="571" t="s">
        <v>24</v>
      </c>
    </row>
    <row r="14" spans="1:20" ht="37.5" customHeight="1" x14ac:dyDescent="0.2">
      <c r="A14" s="123">
        <f>Inventory!A18</f>
        <v>29</v>
      </c>
      <c r="B14" s="125" t="str">
        <f>Inventory!B18</f>
        <v>Flare (SW)</v>
      </c>
      <c r="C14" s="365" t="str">
        <f>Inventory!D18</f>
        <v>Fuel Gas</v>
      </c>
      <c r="D14" s="188">
        <f>Inventory!E18</f>
        <v>14</v>
      </c>
      <c r="E14" s="367" t="str">
        <f>Inventory!F18</f>
        <v>MMscf/day, emergency each</v>
      </c>
      <c r="F14" s="568"/>
      <c r="G14" s="588"/>
      <c r="H14" s="554"/>
      <c r="I14" s="582"/>
      <c r="J14" s="576"/>
      <c r="K14" s="564"/>
      <c r="L14" s="576"/>
      <c r="M14" s="574"/>
      <c r="N14" s="576"/>
      <c r="O14" s="578"/>
      <c r="P14" s="580"/>
      <c r="Q14" s="574"/>
      <c r="R14" s="554" t="s">
        <v>24</v>
      </c>
      <c r="S14" s="570"/>
      <c r="T14" s="572" t="s">
        <v>24</v>
      </c>
    </row>
    <row r="15" spans="1:20" ht="17.100000000000001" customHeight="1" x14ac:dyDescent="0.2">
      <c r="A15" s="431">
        <f>Inventory!A19</f>
        <v>31</v>
      </c>
      <c r="B15" s="73" t="str">
        <f>Inventory!B19</f>
        <v>Solar Taurus 60 T-7300S</v>
      </c>
      <c r="C15" s="365" t="str">
        <f>Inventory!D19</f>
        <v>Fuel Gas</v>
      </c>
      <c r="D15" s="428">
        <f>Inventory!E19</f>
        <v>5.2</v>
      </c>
      <c r="E15" s="407" t="str">
        <f>Inventory!F19</f>
        <v>MW</v>
      </c>
      <c r="F15" s="6" t="s">
        <v>113</v>
      </c>
      <c r="G15" s="11">
        <v>2.0999999999999999E-3</v>
      </c>
      <c r="H15" s="12" t="s">
        <v>20</v>
      </c>
      <c r="I15" s="8">
        <v>8760</v>
      </c>
      <c r="J15" s="28" t="str">
        <f>Inventory!H19</f>
        <v>hr/yr</v>
      </c>
      <c r="K15" s="420">
        <f>Inventory!I19</f>
        <v>8760</v>
      </c>
      <c r="L15" s="407" t="str">
        <f>Inventory!J19</f>
        <v>hr/yr</v>
      </c>
      <c r="M15" s="143">
        <f>Inventory!K19+Inventory!K20</f>
        <v>7357</v>
      </c>
      <c r="N15" s="28" t="str">
        <f>Inventory!L19</f>
        <v>hr/yr</v>
      </c>
      <c r="O15" s="116">
        <f>$G15/1000000*$D15*$C$41*I15/2000*1000*1.34</f>
        <v>0.72276169492800002</v>
      </c>
      <c r="P15" s="28" t="s">
        <v>24</v>
      </c>
      <c r="Q15" s="116">
        <f t="shared" ref="Q15" si="4">+O15/I15*K15</f>
        <v>0.72276169492799991</v>
      </c>
      <c r="R15" s="9" t="s">
        <v>24</v>
      </c>
      <c r="S15" s="116">
        <f t="shared" ref="S15" si="5">+Q15/K15*M15</f>
        <v>0.60700431387959997</v>
      </c>
      <c r="T15" s="26" t="s">
        <v>24</v>
      </c>
    </row>
    <row r="16" spans="1:20" ht="17.100000000000001" customHeight="1" x14ac:dyDescent="0.2">
      <c r="A16" s="74">
        <f>Inventory!A13</f>
        <v>24</v>
      </c>
      <c r="B16" s="32" t="str">
        <f>Inventory!B13</f>
        <v>Caterpillar 3406</v>
      </c>
      <c r="C16" s="322" t="str">
        <f>Inventory!D13</f>
        <v>Diesel</v>
      </c>
      <c r="D16" s="424">
        <f>Inventory!E13</f>
        <v>340</v>
      </c>
      <c r="E16" s="3" t="str">
        <f>Inventory!F13</f>
        <v>hp</v>
      </c>
      <c r="F16" s="50" t="s">
        <v>108</v>
      </c>
      <c r="G16" s="4">
        <v>2.47E-3</v>
      </c>
      <c r="H16" s="3" t="s">
        <v>169</v>
      </c>
      <c r="I16" s="188">
        <f>Inventory!G13</f>
        <v>3000</v>
      </c>
      <c r="J16" s="14" t="s">
        <v>5</v>
      </c>
      <c r="K16" s="188">
        <f>Inventory!I13</f>
        <v>8760</v>
      </c>
      <c r="L16" s="14" t="str">
        <f>Inventory!J13</f>
        <v>hr/yr</v>
      </c>
      <c r="M16" s="429">
        <f>Inventory!K13</f>
        <v>154</v>
      </c>
      <c r="N16" s="14" t="str">
        <f>Inventory!L13</f>
        <v>hr/yr</v>
      </c>
      <c r="O16" s="425">
        <f>$D16*$G16*I16/2000</f>
        <v>1.2597</v>
      </c>
      <c r="P16" s="29" t="s">
        <v>24</v>
      </c>
      <c r="Q16" s="426">
        <f t="shared" si="2"/>
        <v>3.6783239999999999</v>
      </c>
      <c r="R16" s="14" t="s">
        <v>24</v>
      </c>
      <c r="S16" s="323">
        <f t="shared" si="3"/>
        <v>6.4664600000000003E-2</v>
      </c>
      <c r="T16" s="27" t="s">
        <v>24</v>
      </c>
    </row>
    <row r="17" spans="1:20" ht="17.100000000000001" customHeight="1" x14ac:dyDescent="0.2">
      <c r="A17" s="5">
        <f>Inventory!A14</f>
        <v>25</v>
      </c>
      <c r="B17" s="6" t="str">
        <f>Inventory!B14</f>
        <v>Caterpillar 3208</v>
      </c>
      <c r="C17" s="10" t="str">
        <f>Inventory!D14</f>
        <v>Diesel</v>
      </c>
      <c r="D17" s="13">
        <f>Inventory!E14</f>
        <v>250</v>
      </c>
      <c r="E17" s="12" t="str">
        <f>Inventory!F14</f>
        <v>hp</v>
      </c>
      <c r="F17" s="50" t="s">
        <v>108</v>
      </c>
      <c r="G17" s="4">
        <v>2.47E-3</v>
      </c>
      <c r="H17" s="3" t="s">
        <v>169</v>
      </c>
      <c r="I17" s="8">
        <f>Inventory!G14</f>
        <v>3000</v>
      </c>
      <c r="J17" s="9" t="s">
        <v>5</v>
      </c>
      <c r="K17" s="8">
        <f>Inventory!I14</f>
        <v>8760</v>
      </c>
      <c r="L17" s="9" t="str">
        <f>Inventory!J14</f>
        <v>hr/yr</v>
      </c>
      <c r="M17" s="143">
        <f>Inventory!K14</f>
        <v>510</v>
      </c>
      <c r="N17" s="9" t="str">
        <f>Inventory!L14</f>
        <v>hr/yr</v>
      </c>
      <c r="O17" s="114">
        <f>$D17*$G17*I17/2000</f>
        <v>0.92624999999999991</v>
      </c>
      <c r="P17" s="28" t="s">
        <v>24</v>
      </c>
      <c r="Q17" s="116">
        <f t="shared" si="2"/>
        <v>2.7046499999999996</v>
      </c>
      <c r="R17" s="9" t="s">
        <v>24</v>
      </c>
      <c r="S17" s="116">
        <f t="shared" si="3"/>
        <v>0.15746249999999998</v>
      </c>
      <c r="T17" s="26" t="s">
        <v>24</v>
      </c>
    </row>
    <row r="18" spans="1:20" ht="17.100000000000001" customHeight="1" x14ac:dyDescent="0.2">
      <c r="A18" s="5" t="str">
        <f>Inventory!A15</f>
        <v>26a</v>
      </c>
      <c r="B18" s="6" t="str">
        <f>Inventory!B15</f>
        <v>Detroit Diesel Series 60 6063HV35</v>
      </c>
      <c r="C18" s="10" t="str">
        <f>Inventory!D15</f>
        <v>Diesel</v>
      </c>
      <c r="D18" s="13">
        <f>Inventory!E15</f>
        <v>685</v>
      </c>
      <c r="E18" s="12" t="str">
        <f>Inventory!F15</f>
        <v>hp</v>
      </c>
      <c r="F18" s="50" t="s">
        <v>164</v>
      </c>
      <c r="G18" s="112">
        <f>(4*1.25)*0.05</f>
        <v>0.25</v>
      </c>
      <c r="H18" s="3" t="s">
        <v>196</v>
      </c>
      <c r="I18" s="8">
        <f>Inventory!G15</f>
        <v>500</v>
      </c>
      <c r="J18" s="9" t="s">
        <v>5</v>
      </c>
      <c r="K18" s="8">
        <f>Inventory!I15</f>
        <v>8760</v>
      </c>
      <c r="L18" s="14" t="str">
        <f>Inventory!J15</f>
        <v>hr/yr</v>
      </c>
      <c r="M18" s="143">
        <f>Inventory!K15</f>
        <v>1</v>
      </c>
      <c r="N18" s="14" t="str">
        <f>Inventory!L15</f>
        <v>hr/yr</v>
      </c>
      <c r="O18" s="114">
        <f>+D18/1.341*G18/453.592*I18/2000</f>
        <v>7.0384401930736751E-2</v>
      </c>
      <c r="P18" s="29" t="s">
        <v>24</v>
      </c>
      <c r="Q18" s="116">
        <f t="shared" si="2"/>
        <v>1.2331347218265079</v>
      </c>
      <c r="R18" s="9" t="s">
        <v>24</v>
      </c>
      <c r="S18" s="128">
        <f t="shared" si="3"/>
        <v>1.407688038614735E-4</v>
      </c>
      <c r="T18" s="26" t="s">
        <v>24</v>
      </c>
    </row>
    <row r="19" spans="1:20" ht="17.100000000000001" customHeight="1" thickBot="1" x14ac:dyDescent="0.25">
      <c r="A19" s="15">
        <f>Inventory!A16</f>
        <v>27</v>
      </c>
      <c r="B19" s="16" t="str">
        <f>Inventory!B16</f>
        <v>Caterpillar D-330C</v>
      </c>
      <c r="C19" s="403" t="str">
        <f>Inventory!D16</f>
        <v>Diesel</v>
      </c>
      <c r="D19" s="409">
        <f>Inventory!E16</f>
        <v>85</v>
      </c>
      <c r="E19" s="17" t="str">
        <f>Inventory!F16</f>
        <v>hp</v>
      </c>
      <c r="F19" s="430" t="s">
        <v>108</v>
      </c>
      <c r="G19" s="75">
        <v>2.47E-3</v>
      </c>
      <c r="H19" s="17" t="s">
        <v>169</v>
      </c>
      <c r="I19" s="81">
        <f>Inventory!G16</f>
        <v>3000</v>
      </c>
      <c r="J19" s="91" t="s">
        <v>5</v>
      </c>
      <c r="K19" s="81">
        <f>Inventory!I16</f>
        <v>8760</v>
      </c>
      <c r="L19" s="91" t="str">
        <f>Inventory!J16</f>
        <v>hr/yr</v>
      </c>
      <c r="M19" s="142">
        <f>Inventory!K16</f>
        <v>19.5</v>
      </c>
      <c r="N19" s="91" t="str">
        <f>Inventory!L16</f>
        <v>hr/yr</v>
      </c>
      <c r="O19" s="137">
        <f>$D19*$G19*I19/2000</f>
        <v>0.31492500000000001</v>
      </c>
      <c r="P19" s="82" t="s">
        <v>24</v>
      </c>
      <c r="Q19" s="134">
        <f t="shared" si="2"/>
        <v>0.91958099999999998</v>
      </c>
      <c r="R19" s="91" t="s">
        <v>24</v>
      </c>
      <c r="S19" s="140">
        <f t="shared" si="3"/>
        <v>2.0470125000000001E-3</v>
      </c>
      <c r="T19" s="83" t="s">
        <v>24</v>
      </c>
    </row>
    <row r="20" spans="1:20" ht="17.100000000000001" customHeight="1" thickBot="1" x14ac:dyDescent="0.25">
      <c r="H20" s="70" t="s">
        <v>23</v>
      </c>
      <c r="J20" s="33"/>
      <c r="O20" s="115">
        <f>SUM(O5:O19)</f>
        <v>115.62865050183694</v>
      </c>
      <c r="P20" s="432" t="s">
        <v>24</v>
      </c>
      <c r="Q20" s="433">
        <f>SUM(Q5:Q19)</f>
        <v>2953.8805337777744</v>
      </c>
      <c r="R20" s="432" t="s">
        <v>24</v>
      </c>
      <c r="S20" s="423">
        <f>SUM(S5:S19)</f>
        <v>29.956690503582426</v>
      </c>
      <c r="T20" s="36" t="s">
        <v>24</v>
      </c>
    </row>
    <row r="21" spans="1:20" ht="17.100000000000001" customHeight="1" x14ac:dyDescent="0.2"/>
    <row r="22" spans="1:20" ht="17.100000000000001" customHeight="1" x14ac:dyDescent="0.2">
      <c r="A22" s="517" t="s">
        <v>218</v>
      </c>
      <c r="B22" s="517"/>
      <c r="C22" s="517"/>
      <c r="D22" s="517"/>
      <c r="E22" s="517"/>
      <c r="F22" s="517"/>
      <c r="G22" s="517"/>
      <c r="H22" s="517"/>
      <c r="I22" s="517"/>
      <c r="J22" s="517"/>
      <c r="K22" s="517"/>
      <c r="L22" s="517"/>
      <c r="M22" s="517"/>
      <c r="N22" s="517"/>
      <c r="O22" s="517"/>
      <c r="P22" s="517"/>
    </row>
    <row r="23" spans="1:20" ht="17.100000000000001" customHeight="1" x14ac:dyDescent="0.2">
      <c r="A23" s="517" t="str">
        <f>A2</f>
        <v>Hilcorp Alaska, LLC - Grayling Platform</v>
      </c>
      <c r="B23" s="517"/>
      <c r="C23" s="517"/>
      <c r="D23" s="517"/>
      <c r="E23" s="517"/>
      <c r="F23" s="517"/>
      <c r="G23" s="517"/>
      <c r="H23" s="517"/>
      <c r="I23" s="517"/>
      <c r="J23" s="517"/>
      <c r="K23" s="517"/>
      <c r="L23" s="517"/>
      <c r="M23" s="517"/>
      <c r="N23" s="517"/>
      <c r="O23" s="517"/>
      <c r="P23" s="517"/>
    </row>
    <row r="24" spans="1:20" ht="17.100000000000001" customHeight="1" thickBot="1" x14ac:dyDescent="0.25"/>
    <row r="25" spans="1:20" ht="30.95" customHeight="1" thickBot="1" x14ac:dyDescent="0.25">
      <c r="A25" s="104" t="s">
        <v>0</v>
      </c>
      <c r="B25" s="393" t="s">
        <v>205</v>
      </c>
      <c r="C25" s="393" t="s">
        <v>1</v>
      </c>
      <c r="D25" s="525" t="s">
        <v>2</v>
      </c>
      <c r="E25" s="525"/>
      <c r="F25" s="395" t="s">
        <v>16</v>
      </c>
      <c r="G25" s="548" t="s">
        <v>17</v>
      </c>
      <c r="H25" s="561"/>
      <c r="I25" s="525" t="s">
        <v>3</v>
      </c>
      <c r="J25" s="525"/>
      <c r="K25" s="561" t="s">
        <v>204</v>
      </c>
      <c r="L25" s="526"/>
      <c r="M25" s="402"/>
      <c r="N25" s="402"/>
      <c r="O25" s="561" t="s">
        <v>120</v>
      </c>
      <c r="P25" s="526"/>
    </row>
    <row r="26" spans="1:20" ht="17.100000000000001" customHeight="1" thickTop="1" x14ac:dyDescent="0.2">
      <c r="A26" s="5" t="str">
        <f>Inventory!A26</f>
        <v>N/A</v>
      </c>
      <c r="B26" s="6" t="str">
        <f>Inventory!B26</f>
        <v>Clayton ROG-60-1 Boiler</v>
      </c>
      <c r="C26" s="10" t="str">
        <f>Inventory!D26</f>
        <v>Fuel Gas</v>
      </c>
      <c r="D26" s="11">
        <f>Inventory!E26</f>
        <v>2.5</v>
      </c>
      <c r="E26" s="12" t="str">
        <f>Inventory!F26</f>
        <v>MMBtu/hr</v>
      </c>
      <c r="F26" s="32" t="s">
        <v>112</v>
      </c>
      <c r="G26" s="4">
        <v>5.5</v>
      </c>
      <c r="H26" s="3" t="s">
        <v>19</v>
      </c>
      <c r="I26" s="19">
        <f>Inventory!G26</f>
        <v>8760</v>
      </c>
      <c r="J26" s="7" t="str">
        <f>Inventory!H26</f>
        <v>hr/yr</v>
      </c>
      <c r="K26" s="136">
        <f>D26/$C$42*G26*I26/2000</f>
        <v>5.9218289085545724E-2</v>
      </c>
      <c r="L26" s="24" t="s">
        <v>24</v>
      </c>
      <c r="O26" s="136">
        <f>K26</f>
        <v>5.9218289085545724E-2</v>
      </c>
      <c r="P26" s="24" t="s">
        <v>24</v>
      </c>
    </row>
    <row r="27" spans="1:20" ht="17.100000000000001" customHeight="1" x14ac:dyDescent="0.2">
      <c r="A27" s="5" t="str">
        <f>Inventory!A27</f>
        <v>N/A</v>
      </c>
      <c r="B27" s="6" t="str">
        <f>Inventory!B27</f>
        <v>Portable Space Heaters</v>
      </c>
      <c r="C27" s="10" t="str">
        <f>Inventory!D27</f>
        <v>Diesel</v>
      </c>
      <c r="D27" s="11">
        <f>Inventory!E27</f>
        <v>8</v>
      </c>
      <c r="E27" s="12" t="str">
        <f>Inventory!F27</f>
        <v>MMBtu/hr</v>
      </c>
      <c r="F27" s="32" t="s">
        <v>111</v>
      </c>
      <c r="G27" s="4">
        <v>0.34</v>
      </c>
      <c r="H27" s="3" t="s">
        <v>22</v>
      </c>
      <c r="I27" s="19">
        <f>Inventory!G27</f>
        <v>8760</v>
      </c>
      <c r="J27" s="7" t="str">
        <f>Inventory!H27</f>
        <v>hr/yr</v>
      </c>
      <c r="K27" s="136">
        <f>G27*1000000/(1000*$C$44)*D27*I27/2000</f>
        <v>8.6960583941605843E-2</v>
      </c>
      <c r="L27" s="24" t="s">
        <v>24</v>
      </c>
      <c r="O27" s="136">
        <f t="shared" ref="O27:O30" si="6">K27</f>
        <v>8.6960583941605843E-2</v>
      </c>
      <c r="P27" s="24" t="s">
        <v>24</v>
      </c>
    </row>
    <row r="28" spans="1:20" ht="17.100000000000001" customHeight="1" x14ac:dyDescent="0.2">
      <c r="A28" s="5" t="str">
        <f>Inventory!A28</f>
        <v>N/A</v>
      </c>
      <c r="B28" s="6" t="str">
        <f>Inventory!B28</f>
        <v>Clayton Sigma Fire</v>
      </c>
      <c r="C28" s="10" t="str">
        <f>Inventory!D28</f>
        <v>Fuel Gas</v>
      </c>
      <c r="D28" s="11">
        <f>Inventory!E28</f>
        <v>50</v>
      </c>
      <c r="E28" s="12" t="str">
        <f>Inventory!F28</f>
        <v>bhp</v>
      </c>
      <c r="F28" s="6" t="s">
        <v>112</v>
      </c>
      <c r="G28" s="11">
        <v>5.5</v>
      </c>
      <c r="H28" s="12" t="s">
        <v>19</v>
      </c>
      <c r="I28" s="19">
        <f>Inventory!G28</f>
        <v>8760</v>
      </c>
      <c r="J28" s="7" t="str">
        <f>Inventory!H28</f>
        <v>hr/yr</v>
      </c>
      <c r="K28" s="136">
        <f>D28*C43/1000000/C42*G28*I28/2000</f>
        <v>3.9651382005899703E-2</v>
      </c>
      <c r="L28" s="24" t="s">
        <v>24</v>
      </c>
      <c r="O28" s="136">
        <f t="shared" si="6"/>
        <v>3.9651382005899703E-2</v>
      </c>
      <c r="P28" s="24" t="s">
        <v>24</v>
      </c>
    </row>
    <row r="29" spans="1:20" ht="17.100000000000001" customHeight="1" x14ac:dyDescent="0.2">
      <c r="A29" s="5" t="str">
        <f>Inventory!A29</f>
        <v>19a</v>
      </c>
      <c r="B29" s="6" t="str">
        <f>Inventory!B29</f>
        <v>Riello AR 400 Boiler</v>
      </c>
      <c r="C29" s="10" t="str">
        <f>Inventory!D29</f>
        <v>Fuel Gas</v>
      </c>
      <c r="D29" s="11">
        <f>Inventory!E29</f>
        <v>4</v>
      </c>
      <c r="E29" s="12" t="str">
        <f>Inventory!F29</f>
        <v>MMBtu/hr</v>
      </c>
      <c r="F29" s="6" t="s">
        <v>112</v>
      </c>
      <c r="G29" s="11">
        <v>5.5</v>
      </c>
      <c r="H29" s="12" t="s">
        <v>19</v>
      </c>
      <c r="I29" s="19">
        <f>Inventory!G29</f>
        <v>8760</v>
      </c>
      <c r="J29" s="7" t="str">
        <f>Inventory!H29</f>
        <v>hr/yr</v>
      </c>
      <c r="K29" s="136">
        <f>D29/$C$42*G29*I29/2000</f>
        <v>9.4749262536873158E-2</v>
      </c>
      <c r="L29" s="24" t="s">
        <v>24</v>
      </c>
      <c r="O29" s="136">
        <f t="shared" si="6"/>
        <v>9.4749262536873158E-2</v>
      </c>
      <c r="P29" s="24" t="s">
        <v>24</v>
      </c>
    </row>
    <row r="30" spans="1:20" ht="17.100000000000001" customHeight="1" x14ac:dyDescent="0.2">
      <c r="A30" s="5" t="str">
        <f>Inventory!A30</f>
        <v>19b</v>
      </c>
      <c r="B30" s="6" t="str">
        <f>Inventory!B30</f>
        <v>Riello AR 400 Boiler</v>
      </c>
      <c r="C30" s="10" t="str">
        <f>Inventory!D30</f>
        <v>Fuel Gas</v>
      </c>
      <c r="D30" s="11">
        <f>Inventory!E30</f>
        <v>4</v>
      </c>
      <c r="E30" s="12" t="str">
        <f>Inventory!F30</f>
        <v>MMBtu/hr</v>
      </c>
      <c r="F30" s="6" t="s">
        <v>112</v>
      </c>
      <c r="G30" s="11">
        <v>5.5</v>
      </c>
      <c r="H30" s="12" t="s">
        <v>19</v>
      </c>
      <c r="I30" s="19">
        <f>Inventory!G30</f>
        <v>8760</v>
      </c>
      <c r="J30" s="7" t="str">
        <f>Inventory!H30</f>
        <v>hr/yr</v>
      </c>
      <c r="K30" s="136">
        <f>D30/$C$42*G30*I30/2000</f>
        <v>9.4749262536873158E-2</v>
      </c>
      <c r="L30" s="24" t="s">
        <v>24</v>
      </c>
      <c r="O30" s="136">
        <f t="shared" si="6"/>
        <v>9.4749262536873158E-2</v>
      </c>
      <c r="P30" s="24" t="s">
        <v>24</v>
      </c>
    </row>
    <row r="31" spans="1:20" ht="17.100000000000001" customHeight="1" x14ac:dyDescent="0.2">
      <c r="A31" s="5" t="str">
        <f>Inventory!A31</f>
        <v>20a</v>
      </c>
      <c r="B31" s="6" t="str">
        <f>Inventory!B31</f>
        <v>Riello AR 400 Boiler</v>
      </c>
      <c r="C31" s="10" t="str">
        <f>Inventory!D31</f>
        <v>Fuel Gas</v>
      </c>
      <c r="D31" s="13">
        <f>Inventory!E31</f>
        <v>4</v>
      </c>
      <c r="E31" s="12" t="str">
        <f>Inventory!F31</f>
        <v>MMBtu/hr</v>
      </c>
      <c r="F31" s="6" t="s">
        <v>112</v>
      </c>
      <c r="G31" s="11">
        <v>5.5</v>
      </c>
      <c r="H31" s="12" t="s">
        <v>19</v>
      </c>
      <c r="I31" s="19">
        <f>Inventory!G31</f>
        <v>8760</v>
      </c>
      <c r="J31" s="7" t="str">
        <f>Inventory!H31</f>
        <v>hr/yr</v>
      </c>
      <c r="K31" s="136">
        <f>D31/$C$42*G31*I31/2000</f>
        <v>9.4749262536873158E-2</v>
      </c>
      <c r="L31" s="24" t="s">
        <v>24</v>
      </c>
      <c r="O31" s="136">
        <f t="shared" ref="O31" si="7">K31</f>
        <v>9.4749262536873158E-2</v>
      </c>
      <c r="P31" s="24" t="s">
        <v>24</v>
      </c>
    </row>
    <row r="32" spans="1:20" ht="17.100000000000001" customHeight="1" thickBot="1" x14ac:dyDescent="0.25">
      <c r="A32" s="15" t="str">
        <f>Inventory!A32</f>
        <v>N/A</v>
      </c>
      <c r="B32" s="16" t="str">
        <f>Inventory!B32</f>
        <v>Diesel Fuel Tank (G-T-3090)</v>
      </c>
      <c r="C32" s="403" t="str">
        <f>Inventory!D32</f>
        <v>N/A</v>
      </c>
      <c r="D32" s="409">
        <f>Inventory!E32</f>
        <v>2547</v>
      </c>
      <c r="E32" s="17" t="str">
        <f>Inventory!F32</f>
        <v>barrels</v>
      </c>
      <c r="F32" s="77" t="s">
        <v>373</v>
      </c>
      <c r="G32" s="410">
        <f>'Diesel Tank'!B18+'Diesel Tank'!B27</f>
        <v>12.062036325475372</v>
      </c>
      <c r="H32" s="17" t="s">
        <v>273</v>
      </c>
      <c r="I32" s="20">
        <f>Inventory!G32</f>
        <v>3</v>
      </c>
      <c r="J32" s="21" t="str">
        <f>Inventory!H32</f>
        <v>turnovers/yr</v>
      </c>
      <c r="K32" s="131" t="e">
        <f>D32/$C$49*G32*I32/2000</f>
        <v>#DIV/0!</v>
      </c>
      <c r="L32" s="25" t="s">
        <v>24</v>
      </c>
      <c r="M32" s="371"/>
      <c r="N32" s="371"/>
      <c r="O32" s="411">
        <f>+G32/2000</f>
        <v>6.0310181627376861E-3</v>
      </c>
      <c r="P32" s="25" t="s">
        <v>24</v>
      </c>
    </row>
    <row r="33" spans="1:16" ht="17.100000000000001" customHeight="1" thickBot="1" x14ac:dyDescent="0.25">
      <c r="H33" s="70" t="s">
        <v>23</v>
      </c>
      <c r="I33" s="22"/>
      <c r="K33" s="132" t="e">
        <f>SUM(K26:K32)</f>
        <v>#DIV/0!</v>
      </c>
      <c r="L33" s="36" t="s">
        <v>24</v>
      </c>
      <c r="O33" s="132">
        <f>SUM(O26:O32)</f>
        <v>0.47610906080640847</v>
      </c>
      <c r="P33" s="36" t="s">
        <v>24</v>
      </c>
    </row>
    <row r="34" spans="1:16" s="35" customFormat="1" ht="17.100000000000001" customHeight="1" x14ac:dyDescent="0.2">
      <c r="A34" s="446" t="s">
        <v>25</v>
      </c>
      <c r="B34" s="2"/>
      <c r="C34" s="2"/>
      <c r="D34" s="22"/>
    </row>
    <row r="35" spans="1:16" ht="17.100000000000001" customHeight="1" x14ac:dyDescent="0.25">
      <c r="A35" s="320">
        <v>1</v>
      </c>
      <c r="B35" s="35" t="s">
        <v>242</v>
      </c>
      <c r="C35" s="35"/>
      <c r="D35" s="35"/>
    </row>
    <row r="36" spans="1:16" ht="17.100000000000001" customHeight="1" x14ac:dyDescent="0.2">
      <c r="A36" s="320">
        <v>2</v>
      </c>
      <c r="B36" s="35" t="s">
        <v>356</v>
      </c>
      <c r="C36" s="35"/>
      <c r="D36" s="35"/>
    </row>
    <row r="37" spans="1:16" ht="17.100000000000001" customHeight="1" x14ac:dyDescent="0.2">
      <c r="A37" s="446" t="s">
        <v>168</v>
      </c>
      <c r="B37" s="55"/>
      <c r="C37" s="55"/>
    </row>
    <row r="38" spans="1:16" ht="17.100000000000001" customHeight="1" x14ac:dyDescent="0.2">
      <c r="A38" s="35"/>
      <c r="B38" s="56" t="s">
        <v>101</v>
      </c>
      <c r="C38" s="84">
        <v>8960</v>
      </c>
      <c r="D38" s="34" t="s">
        <v>15</v>
      </c>
    </row>
    <row r="39" spans="1:16" ht="17.100000000000001" customHeight="1" x14ac:dyDescent="0.2">
      <c r="A39" s="35"/>
      <c r="B39" s="56" t="s">
        <v>102</v>
      </c>
      <c r="C39" s="84">
        <v>11138</v>
      </c>
      <c r="D39" s="34" t="s">
        <v>15</v>
      </c>
    </row>
    <row r="40" spans="1:16" ht="17.100000000000001" customHeight="1" x14ac:dyDescent="0.2">
      <c r="A40" s="35"/>
      <c r="B40" s="56" t="s">
        <v>103</v>
      </c>
      <c r="C40" s="84">
        <v>16122</v>
      </c>
      <c r="D40" s="34" t="s">
        <v>104</v>
      </c>
    </row>
    <row r="41" spans="1:16" ht="17.100000000000001" customHeight="1" x14ac:dyDescent="0.2">
      <c r="A41" s="35"/>
      <c r="B41" s="56" t="s">
        <v>105</v>
      </c>
      <c r="C41" s="84">
        <v>11277</v>
      </c>
      <c r="D41" s="34" t="s">
        <v>15</v>
      </c>
    </row>
    <row r="42" spans="1:16" ht="17.100000000000001" customHeight="1" x14ac:dyDescent="0.2">
      <c r="A42" s="35"/>
      <c r="B42" s="56" t="s">
        <v>13</v>
      </c>
      <c r="C42" s="84">
        <v>1017</v>
      </c>
      <c r="D42" s="34" t="s">
        <v>14</v>
      </c>
    </row>
    <row r="43" spans="1:16" ht="17.100000000000001" customHeight="1" x14ac:dyDescent="0.2">
      <c r="A43" s="35"/>
      <c r="B43" s="56" t="s">
        <v>106</v>
      </c>
      <c r="C43" s="84">
        <v>33479</v>
      </c>
      <c r="D43" s="34" t="s">
        <v>107</v>
      </c>
    </row>
    <row r="44" spans="1:16" ht="17.100000000000001" customHeight="1" x14ac:dyDescent="0.2">
      <c r="A44" s="35"/>
      <c r="B44" s="56" t="s">
        <v>11</v>
      </c>
      <c r="C44" s="84">
        <v>137000</v>
      </c>
      <c r="D44" s="34" t="s">
        <v>12</v>
      </c>
    </row>
  </sheetData>
  <mergeCells count="32">
    <mergeCell ref="A1:T1"/>
    <mergeCell ref="A2:T2"/>
    <mergeCell ref="D4:E4"/>
    <mergeCell ref="G4:H4"/>
    <mergeCell ref="I4:J4"/>
    <mergeCell ref="O4:P4"/>
    <mergeCell ref="K4:L4"/>
    <mergeCell ref="Q4:R4"/>
    <mergeCell ref="M4:N4"/>
    <mergeCell ref="S4:T4"/>
    <mergeCell ref="T13:T14"/>
    <mergeCell ref="Q13:Q14"/>
    <mergeCell ref="J13:J14"/>
    <mergeCell ref="O13:O14"/>
    <mergeCell ref="P13:P14"/>
    <mergeCell ref="K13:K14"/>
    <mergeCell ref="L13:L14"/>
    <mergeCell ref="A23:P23"/>
    <mergeCell ref="R13:R14"/>
    <mergeCell ref="M13:M14"/>
    <mergeCell ref="N13:N14"/>
    <mergeCell ref="S13:S14"/>
    <mergeCell ref="F13:F14"/>
    <mergeCell ref="G13:G14"/>
    <mergeCell ref="H13:H14"/>
    <mergeCell ref="I13:I14"/>
    <mergeCell ref="A22:P22"/>
    <mergeCell ref="O25:P25"/>
    <mergeCell ref="D25:E25"/>
    <mergeCell ref="G25:H25"/>
    <mergeCell ref="I25:J25"/>
    <mergeCell ref="K25:L25"/>
  </mergeCells>
  <printOptions horizontalCentered="1"/>
  <pageMargins left="0.5" right="0.5" top="0.5" bottom="0.5" header="0.3" footer="0.3"/>
  <pageSetup scale="60" orientation="landscape" r:id="rId1"/>
  <headerFooter scaleWithDoc="0">
    <oddFooter>&amp;L&amp;"Arial,Regular"&amp;9Hilcorp Alaska, LLC
Grayling Platform
Title V Renewal Application&amp;C&amp;"Arial,Regular"&amp;9Page D-&amp;P&amp;R&amp;"Arial,Regular"&amp;9December 2022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7FC8E-AA5C-4D2C-BC8C-2859A309D11E}">
  <sheetPr>
    <pageSetUpPr fitToPage="1"/>
  </sheetPr>
  <dimension ref="A1:T48"/>
  <sheetViews>
    <sheetView tabSelected="1" view="pageBreakPreview" zoomScaleNormal="100" zoomScaleSheetLayoutView="100" workbookViewId="0">
      <selection activeCell="R12" sqref="R12"/>
    </sheetView>
  </sheetViews>
  <sheetFormatPr defaultColWidth="9.140625" defaultRowHeight="12.75" x14ac:dyDescent="0.2"/>
  <cols>
    <col min="1" max="1" width="6.7109375" style="1" customWidth="1"/>
    <col min="2" max="2" width="30.7109375" style="1" customWidth="1"/>
    <col min="3" max="5" width="10.7109375" style="1" customWidth="1"/>
    <col min="6" max="6" width="25.7109375" style="1" customWidth="1"/>
    <col min="7" max="8" width="10.7109375" style="1" customWidth="1"/>
    <col min="9" max="14" width="10.7109375" style="1" hidden="1" customWidth="1"/>
    <col min="15" max="20" width="10.7109375" style="1" customWidth="1"/>
    <col min="21" max="16384" width="9.140625" style="1"/>
  </cols>
  <sheetData>
    <row r="1" spans="1:20" ht="33" customHeight="1" x14ac:dyDescent="0.2">
      <c r="A1" s="472" t="s">
        <v>378</v>
      </c>
      <c r="B1" s="473"/>
      <c r="C1" s="473"/>
      <c r="D1" s="473"/>
      <c r="E1" s="473"/>
      <c r="F1" s="473"/>
      <c r="G1" s="473"/>
      <c r="H1" s="473"/>
      <c r="I1" s="473"/>
      <c r="J1" s="473"/>
      <c r="K1" s="473"/>
      <c r="L1" s="473"/>
      <c r="M1" s="473"/>
      <c r="N1" s="473"/>
      <c r="O1" s="473"/>
      <c r="P1" s="473"/>
      <c r="Q1" s="473"/>
      <c r="R1" s="473"/>
      <c r="S1" s="473"/>
      <c r="T1" s="473"/>
    </row>
    <row r="2" spans="1:20" ht="17.100000000000001" customHeight="1" x14ac:dyDescent="0.2">
      <c r="A2" s="473" t="str">
        <f>Inventory!A2</f>
        <v>Hilcorp Alaska, LLC - Grayling Platform</v>
      </c>
      <c r="B2" s="473"/>
      <c r="C2" s="473"/>
      <c r="D2" s="473"/>
      <c r="E2" s="473"/>
      <c r="F2" s="473"/>
      <c r="G2" s="473"/>
      <c r="H2" s="473"/>
      <c r="I2" s="473"/>
      <c r="J2" s="473"/>
      <c r="K2" s="473"/>
      <c r="L2" s="473"/>
      <c r="M2" s="473"/>
      <c r="N2" s="473"/>
      <c r="O2" s="473"/>
      <c r="P2" s="473"/>
      <c r="Q2" s="473"/>
      <c r="R2" s="473"/>
      <c r="S2" s="473"/>
      <c r="T2" s="473"/>
    </row>
    <row r="3" spans="1:20" ht="17.100000000000001" customHeight="1" thickBot="1" x14ac:dyDescent="0.25"/>
    <row r="4" spans="1:20" s="31" customFormat="1" ht="30.95" customHeight="1" thickBot="1" x14ac:dyDescent="0.3">
      <c r="A4" s="30" t="s">
        <v>0</v>
      </c>
      <c r="B4" s="90" t="s">
        <v>205</v>
      </c>
      <c r="C4" s="90" t="s">
        <v>1</v>
      </c>
      <c r="D4" s="533" t="s">
        <v>2</v>
      </c>
      <c r="E4" s="533"/>
      <c r="F4" s="90" t="s">
        <v>16</v>
      </c>
      <c r="G4" s="559" t="s">
        <v>17</v>
      </c>
      <c r="H4" s="560"/>
      <c r="I4" s="525" t="s">
        <v>192</v>
      </c>
      <c r="J4" s="525"/>
      <c r="K4" s="525" t="s">
        <v>193</v>
      </c>
      <c r="L4" s="525"/>
      <c r="M4" s="525" t="s">
        <v>175</v>
      </c>
      <c r="N4" s="525"/>
      <c r="O4" s="548" t="s">
        <v>157</v>
      </c>
      <c r="P4" s="562"/>
      <c r="Q4" s="548" t="s">
        <v>120</v>
      </c>
      <c r="R4" s="561"/>
      <c r="S4" s="562" t="s">
        <v>160</v>
      </c>
      <c r="T4" s="549"/>
    </row>
    <row r="5" spans="1:20" ht="17.100000000000001" customHeight="1" thickTop="1" x14ac:dyDescent="0.3">
      <c r="A5" s="5">
        <f>Inventory!A5</f>
        <v>1</v>
      </c>
      <c r="B5" s="6" t="str">
        <f>Inventory!B5</f>
        <v>Solar Centaur T4500</v>
      </c>
      <c r="C5" s="6" t="str">
        <f>Inventory!D5</f>
        <v>Fuel Gas</v>
      </c>
      <c r="D5" s="19">
        <f>Inventory!E5</f>
        <v>4500</v>
      </c>
      <c r="E5" s="7" t="str">
        <f>Inventory!F5</f>
        <v>hp</v>
      </c>
      <c r="F5" s="6" t="s">
        <v>114</v>
      </c>
      <c r="G5" s="453">
        <v>650</v>
      </c>
      <c r="H5" s="454" t="s">
        <v>376</v>
      </c>
      <c r="I5" s="8">
        <f>Inventory!G5</f>
        <v>8760</v>
      </c>
      <c r="J5" s="9" t="str">
        <f>Inventory!H5</f>
        <v>hr/yr</v>
      </c>
      <c r="K5" s="8">
        <f>Inventory!I5</f>
        <v>8760</v>
      </c>
      <c r="L5" s="9" t="str">
        <f>Inventory!J5</f>
        <v>hr/yr</v>
      </c>
      <c r="M5" s="8">
        <f>Inventory!K5</f>
        <v>2985</v>
      </c>
      <c r="N5" s="9" t="str">
        <f>Inventory!L5</f>
        <v>hr/yr</v>
      </c>
      <c r="O5" s="599">
        <v>98</v>
      </c>
      <c r="P5" s="602" t="s">
        <v>24</v>
      </c>
      <c r="Q5" s="461">
        <f>$G5/379.6*64/$C$39*$C$35*$D5*K5/2000/1000000</f>
        <v>19.030088495575225</v>
      </c>
      <c r="R5" s="462" t="s">
        <v>24</v>
      </c>
      <c r="S5" s="455">
        <f>$G5/379.6*64/$C$39*$C$35*$D5*M5/2000/1000000</f>
        <v>6.4845678264032012</v>
      </c>
      <c r="T5" s="465" t="s">
        <v>24</v>
      </c>
    </row>
    <row r="6" spans="1:20" ht="17.100000000000001" customHeight="1" x14ac:dyDescent="0.3">
      <c r="A6" s="5">
        <f>Inventory!A6</f>
        <v>3</v>
      </c>
      <c r="B6" s="6" t="str">
        <f>Inventory!B6</f>
        <v>Solar Centaur T4500</v>
      </c>
      <c r="C6" s="10" t="str">
        <f>Inventory!D6</f>
        <v>Fuel Gas</v>
      </c>
      <c r="D6" s="13">
        <f>Inventory!E6</f>
        <v>4500</v>
      </c>
      <c r="E6" s="12" t="str">
        <f>Inventory!F6</f>
        <v>hp</v>
      </c>
      <c r="F6" s="6" t="s">
        <v>114</v>
      </c>
      <c r="G6" s="453">
        <v>650</v>
      </c>
      <c r="H6" s="454" t="s">
        <v>376</v>
      </c>
      <c r="I6" s="8">
        <f>Inventory!G6</f>
        <v>8760</v>
      </c>
      <c r="J6" s="9" t="str">
        <f>Inventory!H6</f>
        <v>hr/yr</v>
      </c>
      <c r="K6" s="8">
        <f>Inventory!I6</f>
        <v>8760</v>
      </c>
      <c r="L6" s="9" t="str">
        <f>Inventory!J6</f>
        <v>hr/yr</v>
      </c>
      <c r="M6" s="8">
        <f>Inventory!K6</f>
        <v>2369</v>
      </c>
      <c r="N6" s="9" t="str">
        <f>Inventory!L6</f>
        <v>hr/yr</v>
      </c>
      <c r="O6" s="600"/>
      <c r="P6" s="603"/>
      <c r="Q6" s="461">
        <f>$G6/379.6*64/$C$39*$C$35*$D6*K6/2000/1000000</f>
        <v>19.030088495575225</v>
      </c>
      <c r="R6" s="462" t="s">
        <v>24</v>
      </c>
      <c r="S6" s="455">
        <f>$G6/379.6*64/$C$39*$C$35*$D6*M6/2000/1000000</f>
        <v>5.1463789550248515</v>
      </c>
      <c r="T6" s="465" t="s">
        <v>24</v>
      </c>
    </row>
    <row r="7" spans="1:20" ht="17.100000000000001" customHeight="1" x14ac:dyDescent="0.3">
      <c r="A7" s="5" t="str">
        <f>Inventory!A7</f>
        <v>4a</v>
      </c>
      <c r="B7" s="6" t="str">
        <f>Inventory!B7</f>
        <v>Solar Centaur T4500</v>
      </c>
      <c r="C7" s="10" t="str">
        <f>Inventory!D7</f>
        <v>Fuel Gas</v>
      </c>
      <c r="D7" s="13">
        <f>Inventory!E7</f>
        <v>4500</v>
      </c>
      <c r="E7" s="12" t="str">
        <f>Inventory!F7</f>
        <v>hp</v>
      </c>
      <c r="F7" s="6" t="s">
        <v>114</v>
      </c>
      <c r="G7" s="453">
        <v>650</v>
      </c>
      <c r="H7" s="454" t="s">
        <v>376</v>
      </c>
      <c r="I7" s="8">
        <f>Inventory!G7</f>
        <v>8760</v>
      </c>
      <c r="J7" s="9" t="str">
        <f>Inventory!H7</f>
        <v>hr/yr</v>
      </c>
      <c r="K7" s="8">
        <f>Inventory!I7</f>
        <v>8760</v>
      </c>
      <c r="L7" s="9" t="str">
        <f>Inventory!J7</f>
        <v>hr/yr</v>
      </c>
      <c r="M7" s="8">
        <f>Inventory!K7</f>
        <v>8562</v>
      </c>
      <c r="N7" s="9" t="str">
        <f>Inventory!L7</f>
        <v>hr/yr</v>
      </c>
      <c r="O7" s="600"/>
      <c r="P7" s="603"/>
      <c r="Q7" s="461">
        <f>$G7/379.6*64/$C$39*$C$35*$D7*K7/2000/1000000</f>
        <v>19.030088495575225</v>
      </c>
      <c r="R7" s="462" t="s">
        <v>24</v>
      </c>
      <c r="S7" s="455">
        <f>$G7/379.6*64/$C$39*$C$35*$D7*M7/2000/1000000</f>
        <v>18.599956358346464</v>
      </c>
      <c r="T7" s="465" t="s">
        <v>24</v>
      </c>
    </row>
    <row r="8" spans="1:20" ht="17.100000000000001" customHeight="1" x14ac:dyDescent="0.3">
      <c r="A8" s="5">
        <f>Inventory!A8</f>
        <v>14</v>
      </c>
      <c r="B8" s="6" t="str">
        <f>Inventory!B8</f>
        <v>Solar Saturn T1200</v>
      </c>
      <c r="C8" s="10" t="str">
        <f>Inventory!D8</f>
        <v>Fuel Gas</v>
      </c>
      <c r="D8" s="13">
        <f>Inventory!E8</f>
        <v>1100</v>
      </c>
      <c r="E8" s="12" t="str">
        <f>Inventory!F8</f>
        <v>hp</v>
      </c>
      <c r="F8" s="6" t="s">
        <v>114</v>
      </c>
      <c r="G8" s="453">
        <v>650</v>
      </c>
      <c r="H8" s="454" t="s">
        <v>376</v>
      </c>
      <c r="I8" s="8">
        <f>Inventory!G8</f>
        <v>8760</v>
      </c>
      <c r="J8" s="9" t="str">
        <f>Inventory!H8</f>
        <v>hr/yr</v>
      </c>
      <c r="K8" s="8">
        <f>Inventory!I8</f>
        <v>8760</v>
      </c>
      <c r="L8" s="9" t="str">
        <f>Inventory!J8</f>
        <v>hr/yr</v>
      </c>
      <c r="M8" s="8">
        <f>Inventory!K8</f>
        <v>0</v>
      </c>
      <c r="N8" s="9" t="str">
        <f>Inventory!L8</f>
        <v>hr/yr</v>
      </c>
      <c r="O8" s="600"/>
      <c r="P8" s="603"/>
      <c r="Q8" s="461">
        <f>$G8/379.6*64/$C$39*$C$36*$D8*K8/2000/1000000</f>
        <v>5.7825604719764003</v>
      </c>
      <c r="R8" s="462" t="s">
        <v>24</v>
      </c>
      <c r="S8" s="466">
        <f>$G8/379.6*64/$C$39*$C$36*$D8*M8/2000/1000000</f>
        <v>0</v>
      </c>
      <c r="T8" s="465" t="s">
        <v>24</v>
      </c>
    </row>
    <row r="9" spans="1:20" ht="17.100000000000001" customHeight="1" x14ac:dyDescent="0.3">
      <c r="A9" s="5">
        <f>Inventory!A9</f>
        <v>15</v>
      </c>
      <c r="B9" s="6" t="str">
        <f>Inventory!B9</f>
        <v>Solar Saturn T1200</v>
      </c>
      <c r="C9" s="10" t="str">
        <f>Inventory!D9</f>
        <v>Fuel Gas</v>
      </c>
      <c r="D9" s="11">
        <f>Inventory!E9</f>
        <v>800</v>
      </c>
      <c r="E9" s="12" t="str">
        <f>Inventory!F9</f>
        <v>kW</v>
      </c>
      <c r="F9" s="6" t="s">
        <v>114</v>
      </c>
      <c r="G9" s="453">
        <v>650</v>
      </c>
      <c r="H9" s="454" t="s">
        <v>376</v>
      </c>
      <c r="I9" s="8">
        <f>Inventory!G9</f>
        <v>8760</v>
      </c>
      <c r="J9" s="9" t="str">
        <f>Inventory!H9</f>
        <v>hr/yr</v>
      </c>
      <c r="K9" s="8">
        <f>Inventory!I9</f>
        <v>8760</v>
      </c>
      <c r="L9" s="9" t="str">
        <f>Inventory!J9</f>
        <v>hr/yr</v>
      </c>
      <c r="M9" s="8">
        <f>Inventory!K9</f>
        <v>1599</v>
      </c>
      <c r="N9" s="9" t="str">
        <f>Inventory!L9</f>
        <v>hr/yr</v>
      </c>
      <c r="O9" s="600"/>
      <c r="P9" s="603"/>
      <c r="Q9" s="461">
        <f>$G9/379.6*64/$C$39*$C$37*$D9*K9/2000/1000000</f>
        <v>6.0873628318584077</v>
      </c>
      <c r="R9" s="462" t="s">
        <v>24</v>
      </c>
      <c r="S9" s="455">
        <f>$G9/379.6*64/$C$39*$C$37*$D9*M9/2000/1000000</f>
        <v>1.1111521881440176</v>
      </c>
      <c r="T9" s="465" t="s">
        <v>24</v>
      </c>
    </row>
    <row r="10" spans="1:20" ht="17.100000000000001" customHeight="1" x14ac:dyDescent="0.3">
      <c r="A10" s="5">
        <f>Inventory!A10</f>
        <v>16</v>
      </c>
      <c r="B10" s="6" t="str">
        <f>Inventory!B10</f>
        <v>Solar Saturn T1200</v>
      </c>
      <c r="C10" s="10" t="str">
        <f>Inventory!D10</f>
        <v>Fuel Gas</v>
      </c>
      <c r="D10" s="11">
        <f>Inventory!E10</f>
        <v>750</v>
      </c>
      <c r="E10" s="12" t="str">
        <f>Inventory!F10</f>
        <v>kW</v>
      </c>
      <c r="F10" s="6" t="s">
        <v>114</v>
      </c>
      <c r="G10" s="453">
        <v>650</v>
      </c>
      <c r="H10" s="454" t="s">
        <v>376</v>
      </c>
      <c r="I10" s="8">
        <f>Inventory!G10</f>
        <v>8760</v>
      </c>
      <c r="J10" s="9" t="str">
        <f>Inventory!H10</f>
        <v>hr/yr</v>
      </c>
      <c r="K10" s="8">
        <f>Inventory!I10</f>
        <v>8760</v>
      </c>
      <c r="L10" s="9" t="str">
        <f>Inventory!J10</f>
        <v>hr/yr</v>
      </c>
      <c r="M10" s="8">
        <f>Inventory!K10</f>
        <v>1868</v>
      </c>
      <c r="N10" s="9" t="str">
        <f>Inventory!L10</f>
        <v>hr/yr</v>
      </c>
      <c r="O10" s="600"/>
      <c r="P10" s="603"/>
      <c r="Q10" s="461">
        <f>$G10/379.6*64/$C$39*$C$37*$D10*K10/2000/1000000</f>
        <v>5.7069026548672568</v>
      </c>
      <c r="R10" s="462" t="s">
        <v>24</v>
      </c>
      <c r="S10" s="455">
        <f>$G10/379.6*64/$C$39*$C$37*$D10*M10/2000/1000000</f>
        <v>1.2169513880470362</v>
      </c>
      <c r="T10" s="465" t="s">
        <v>24</v>
      </c>
    </row>
    <row r="11" spans="1:20" ht="17.100000000000001" customHeight="1" x14ac:dyDescent="0.3">
      <c r="A11" s="5">
        <f>Inventory!A11</f>
        <v>17</v>
      </c>
      <c r="B11" s="6" t="str">
        <f>Inventory!B11</f>
        <v>Solar Saturn T1200</v>
      </c>
      <c r="C11" s="10" t="str">
        <f>Inventory!D11</f>
        <v>Fuel Gas</v>
      </c>
      <c r="D11" s="11">
        <f>Inventory!E11</f>
        <v>800</v>
      </c>
      <c r="E11" s="12" t="str">
        <f>Inventory!F11</f>
        <v>kW</v>
      </c>
      <c r="F11" s="6" t="s">
        <v>114</v>
      </c>
      <c r="G11" s="453">
        <v>650</v>
      </c>
      <c r="H11" s="454" t="s">
        <v>376</v>
      </c>
      <c r="I11" s="8">
        <f>Inventory!G11</f>
        <v>8760</v>
      </c>
      <c r="J11" s="9" t="str">
        <f>Inventory!H11</f>
        <v>hr/yr</v>
      </c>
      <c r="K11" s="8">
        <f>Inventory!I11</f>
        <v>8760</v>
      </c>
      <c r="L11" s="9" t="str">
        <f>Inventory!J11</f>
        <v>hr/yr</v>
      </c>
      <c r="M11" s="8">
        <f>Inventory!K11</f>
        <v>1384</v>
      </c>
      <c r="N11" s="9" t="str">
        <f>Inventory!L11</f>
        <v>hr/yr</v>
      </c>
      <c r="O11" s="600"/>
      <c r="P11" s="603"/>
      <c r="Q11" s="461">
        <f>$G11/379.6*64/$C$39*$C$37*$D11*K11/2000/1000000</f>
        <v>6.0873628318584077</v>
      </c>
      <c r="R11" s="462" t="s">
        <v>24</v>
      </c>
      <c r="S11" s="455">
        <f>$G11/379.6*64/$C$39*$C$37*$D11*M11/2000/1000000</f>
        <v>0.96174773507899969</v>
      </c>
      <c r="T11" s="465" t="s">
        <v>24</v>
      </c>
    </row>
    <row r="12" spans="1:20" ht="17.100000000000001" customHeight="1" x14ac:dyDescent="0.3">
      <c r="A12" s="5">
        <f>Inventory!A12</f>
        <v>18</v>
      </c>
      <c r="B12" s="6" t="str">
        <f>Inventory!B12</f>
        <v>Solar Saturn T1200</v>
      </c>
      <c r="C12" s="10" t="str">
        <f>Inventory!D12</f>
        <v>Fuel Gas</v>
      </c>
      <c r="D12" s="11">
        <f>Inventory!E12</f>
        <v>800</v>
      </c>
      <c r="E12" s="12" t="str">
        <f>Inventory!F12</f>
        <v>kW</v>
      </c>
      <c r="F12" s="6" t="s">
        <v>114</v>
      </c>
      <c r="G12" s="453">
        <v>650</v>
      </c>
      <c r="H12" s="454" t="s">
        <v>376</v>
      </c>
      <c r="I12" s="8">
        <f>Inventory!G12</f>
        <v>8760</v>
      </c>
      <c r="J12" s="9" t="str">
        <f>Inventory!H12</f>
        <v>hr/yr</v>
      </c>
      <c r="K12" s="8">
        <f>Inventory!I12</f>
        <v>8760</v>
      </c>
      <c r="L12" s="9" t="str">
        <f>Inventory!J12</f>
        <v>hr/yr</v>
      </c>
      <c r="M12" s="8">
        <f>Inventory!K12</f>
        <v>1380</v>
      </c>
      <c r="N12" s="9" t="str">
        <f>Inventory!L12</f>
        <v>hr/yr</v>
      </c>
      <c r="O12" s="600"/>
      <c r="P12" s="603"/>
      <c r="Q12" s="461">
        <f>$G12/379.6*64/$C$39*$C$37*$D12*K12/2000/1000000</f>
        <v>6.0873628318584077</v>
      </c>
      <c r="R12" s="462" t="s">
        <v>24</v>
      </c>
      <c r="S12" s="455">
        <f>$G12/379.6*64/$C$39*$C$37*$D12*M12/2000/1000000</f>
        <v>0.95896811734755749</v>
      </c>
      <c r="T12" s="465" t="s">
        <v>24</v>
      </c>
    </row>
    <row r="13" spans="1:20" ht="37.5" customHeight="1" x14ac:dyDescent="0.2">
      <c r="A13" s="123">
        <f>Inventory!A17</f>
        <v>28</v>
      </c>
      <c r="B13" s="125" t="str">
        <f>Inventory!B17</f>
        <v>Flare (South)</v>
      </c>
      <c r="C13" s="365" t="str">
        <f>Inventory!D17</f>
        <v>Fuel Gas</v>
      </c>
      <c r="D13" s="444">
        <f>Inventory!E17</f>
        <v>0.12</v>
      </c>
      <c r="E13" s="445" t="str">
        <f>Inventory!F17</f>
        <v>MMscf/day, pilot/purge combined</v>
      </c>
      <c r="F13" s="531" t="s">
        <v>114</v>
      </c>
      <c r="G13" s="593">
        <v>650</v>
      </c>
      <c r="H13" s="589" t="s">
        <v>376</v>
      </c>
      <c r="I13" s="581">
        <f>Inventory!G17</f>
        <v>193.762</v>
      </c>
      <c r="J13" s="575" t="str">
        <f>Inventory!H17</f>
        <v>MMscf/yr, combined 6</v>
      </c>
      <c r="K13" s="563">
        <f>Inventory!I17</f>
        <v>14.12</v>
      </c>
      <c r="L13" s="575" t="str">
        <f>Inventory!J17</f>
        <v>MMscf/day, each</v>
      </c>
      <c r="M13" s="563">
        <f>Inventory!K17</f>
        <v>49829</v>
      </c>
      <c r="N13" s="575" t="str">
        <f>Inventory!L17</f>
        <v>Mscf/yr,  combined</v>
      </c>
      <c r="O13" s="600"/>
      <c r="P13" s="603"/>
      <c r="Q13" s="597">
        <f>$G13/379.6*64*K13/2000*365*2</f>
        <v>564.79999999999995</v>
      </c>
      <c r="R13" s="589" t="s">
        <v>24</v>
      </c>
      <c r="S13" s="591">
        <f>$G13/379.6*64*M13/2000/1000</f>
        <v>2.7303561643835614</v>
      </c>
      <c r="T13" s="595" t="s">
        <v>24</v>
      </c>
    </row>
    <row r="14" spans="1:20" ht="37.5" customHeight="1" x14ac:dyDescent="0.2">
      <c r="A14" s="123">
        <f>Inventory!A18</f>
        <v>29</v>
      </c>
      <c r="B14" s="125" t="str">
        <f>Inventory!B18</f>
        <v>Flare (SW)</v>
      </c>
      <c r="C14" s="365" t="str">
        <f>Inventory!D18</f>
        <v>Fuel Gas</v>
      </c>
      <c r="D14" s="188">
        <f>Inventory!E18</f>
        <v>14</v>
      </c>
      <c r="E14" s="367" t="str">
        <f>Inventory!F18</f>
        <v>MMscf/day, emergency each</v>
      </c>
      <c r="F14" s="550"/>
      <c r="G14" s="594"/>
      <c r="H14" s="590"/>
      <c r="I14" s="582"/>
      <c r="J14" s="576"/>
      <c r="K14" s="564"/>
      <c r="L14" s="576"/>
      <c r="M14" s="564"/>
      <c r="N14" s="576"/>
      <c r="O14" s="600"/>
      <c r="P14" s="603"/>
      <c r="Q14" s="598"/>
      <c r="R14" s="590" t="s">
        <v>24</v>
      </c>
      <c r="S14" s="592"/>
      <c r="T14" s="596" t="s">
        <v>24</v>
      </c>
    </row>
    <row r="15" spans="1:20" ht="17.100000000000001" customHeight="1" x14ac:dyDescent="0.3">
      <c r="A15" s="123">
        <f>Inventory!A19</f>
        <v>31</v>
      </c>
      <c r="B15" s="73" t="str">
        <f>Inventory!B19</f>
        <v>Solar Taurus 60 T-7300S</v>
      </c>
      <c r="C15" s="365" t="str">
        <f>Inventory!D19</f>
        <v>Fuel Gas</v>
      </c>
      <c r="D15" s="428">
        <f>Inventory!E19</f>
        <v>5.2</v>
      </c>
      <c r="E15" s="407" t="str">
        <f>Inventory!F19</f>
        <v>MW</v>
      </c>
      <c r="F15" s="6" t="s">
        <v>114</v>
      </c>
      <c r="G15" s="453">
        <v>650</v>
      </c>
      <c r="H15" s="454" t="s">
        <v>376</v>
      </c>
      <c r="I15" s="8">
        <v>8760</v>
      </c>
      <c r="J15" s="28" t="str">
        <f>Inventory!H19</f>
        <v>hr/yr</v>
      </c>
      <c r="K15" s="420">
        <f>Inventory!I19</f>
        <v>8760</v>
      </c>
      <c r="L15" s="407" t="str">
        <f>Inventory!J19</f>
        <v>hr/yr</v>
      </c>
      <c r="M15" s="8">
        <f>Inventory!K19+Inventory!K20</f>
        <v>7357</v>
      </c>
      <c r="N15" s="28" t="str">
        <f>Inventory!L19</f>
        <v>hr/yr</v>
      </c>
      <c r="O15" s="601"/>
      <c r="P15" s="604"/>
      <c r="Q15" s="461">
        <f>$G15/379.6*64/$C$39*$D$15*1000*1.34*$C$38/1000000*K15/2000</f>
        <v>37.087025840707966</v>
      </c>
      <c r="R15" s="463" t="s">
        <v>24</v>
      </c>
      <c r="S15" s="455">
        <f>$G15/379.6*64/$C$39*$D$15*1000*1.34*$C$38/1000000*M15/2000</f>
        <v>31.147174555946179</v>
      </c>
      <c r="T15" s="465" t="s">
        <v>24</v>
      </c>
    </row>
    <row r="16" spans="1:20" ht="17.100000000000001" customHeight="1" x14ac:dyDescent="0.2">
      <c r="A16" s="74">
        <f>Inventory!A13</f>
        <v>24</v>
      </c>
      <c r="B16" s="32" t="str">
        <f>Inventory!B13</f>
        <v>Caterpillar 3406</v>
      </c>
      <c r="C16" s="322" t="str">
        <f>Inventory!D13</f>
        <v>Diesel</v>
      </c>
      <c r="D16" s="424">
        <f>Inventory!E13</f>
        <v>340</v>
      </c>
      <c r="E16" s="3" t="str">
        <f>Inventory!F13</f>
        <v>hp</v>
      </c>
      <c r="F16" s="32" t="s">
        <v>114</v>
      </c>
      <c r="G16" s="4">
        <v>0.5</v>
      </c>
      <c r="H16" s="3" t="s">
        <v>115</v>
      </c>
      <c r="I16" s="188">
        <f>Inventory!G13</f>
        <v>3000</v>
      </c>
      <c r="J16" s="14" t="s">
        <v>5</v>
      </c>
      <c r="K16" s="188">
        <f>Inventory!I13</f>
        <v>8760</v>
      </c>
      <c r="L16" s="14" t="str">
        <f>Inventory!J13</f>
        <v>hr/yr</v>
      </c>
      <c r="M16" s="188">
        <f>Inventory!K13</f>
        <v>154</v>
      </c>
      <c r="N16" s="14" t="str">
        <f>Inventory!L13</f>
        <v>hr/yr</v>
      </c>
      <c r="O16" s="425">
        <f>$G16/100*2*7/$C$41*$D16*7000*I16/2000</f>
        <v>1.824087591240876</v>
      </c>
      <c r="P16" s="29" t="s">
        <v>24</v>
      </c>
      <c r="Q16" s="426">
        <f>$G16/100*2*7/$C$41*$D16*7000*K16/2000</f>
        <v>5.3263357664233579</v>
      </c>
      <c r="R16" s="14" t="s">
        <v>24</v>
      </c>
      <c r="S16" s="427">
        <f>$G16/100*2*7/$C$41*$D16*7000*M16/2000</f>
        <v>9.3636496350364959E-2</v>
      </c>
      <c r="T16" s="27" t="s">
        <v>24</v>
      </c>
    </row>
    <row r="17" spans="1:20" ht="17.100000000000001" customHeight="1" x14ac:dyDescent="0.2">
      <c r="A17" s="5">
        <f>Inventory!A14</f>
        <v>25</v>
      </c>
      <c r="B17" s="6" t="str">
        <f>Inventory!B14</f>
        <v>Caterpillar 3208</v>
      </c>
      <c r="C17" s="10" t="str">
        <f>Inventory!D14</f>
        <v>Diesel</v>
      </c>
      <c r="D17" s="13">
        <f>Inventory!E14</f>
        <v>250</v>
      </c>
      <c r="E17" s="12" t="str">
        <f>Inventory!F14</f>
        <v>hp</v>
      </c>
      <c r="F17" s="6" t="s">
        <v>114</v>
      </c>
      <c r="G17" s="4">
        <v>0.5</v>
      </c>
      <c r="H17" s="3" t="s">
        <v>115</v>
      </c>
      <c r="I17" s="8">
        <f>Inventory!G14</f>
        <v>3000</v>
      </c>
      <c r="J17" s="9" t="s">
        <v>5</v>
      </c>
      <c r="K17" s="8">
        <f>Inventory!I14</f>
        <v>8760</v>
      </c>
      <c r="L17" s="9" t="str">
        <f>Inventory!J14</f>
        <v>hr/yr</v>
      </c>
      <c r="M17" s="8">
        <f>Inventory!K14</f>
        <v>510</v>
      </c>
      <c r="N17" s="9" t="str">
        <f>Inventory!L14</f>
        <v>hr/yr</v>
      </c>
      <c r="O17" s="114">
        <f>$G17/100*2*7/$C$41*$D17*7000*I17/2000</f>
        <v>1.3412408759124088</v>
      </c>
      <c r="P17" s="28" t="s">
        <v>24</v>
      </c>
      <c r="Q17" s="116">
        <f>$G17/100*2*7/$C$41*$D17*7000*K17/2000</f>
        <v>3.9164233576642342</v>
      </c>
      <c r="R17" s="9" t="s">
        <v>24</v>
      </c>
      <c r="S17" s="114">
        <f>$G17/100*2*7/$C$41*$D17*7000*M17/2000</f>
        <v>0.22801094890510951</v>
      </c>
      <c r="T17" s="26" t="s">
        <v>24</v>
      </c>
    </row>
    <row r="18" spans="1:20" ht="17.100000000000001" customHeight="1" x14ac:dyDescent="0.2">
      <c r="A18" s="5" t="str">
        <f>Inventory!A15</f>
        <v>26a</v>
      </c>
      <c r="B18" s="6" t="str">
        <f>Inventory!B15</f>
        <v>Detroit Diesel Series 60 6063HV35</v>
      </c>
      <c r="C18" s="10" t="str">
        <f>Inventory!D15</f>
        <v>Diesel</v>
      </c>
      <c r="D18" s="13">
        <f>Inventory!E15</f>
        <v>685</v>
      </c>
      <c r="E18" s="12" t="str">
        <f>Inventory!F15</f>
        <v>hp</v>
      </c>
      <c r="F18" s="6" t="s">
        <v>114</v>
      </c>
      <c r="G18" s="4">
        <v>0.5</v>
      </c>
      <c r="H18" s="3" t="s">
        <v>115</v>
      </c>
      <c r="I18" s="8">
        <f>Inventory!G15</f>
        <v>500</v>
      </c>
      <c r="J18" s="9" t="s">
        <v>5</v>
      </c>
      <c r="K18" s="8">
        <f>Inventory!I15</f>
        <v>8760</v>
      </c>
      <c r="L18" s="14" t="str">
        <f>Inventory!J15</f>
        <v>hr/yr</v>
      </c>
      <c r="M18" s="8">
        <f>Inventory!K15</f>
        <v>1</v>
      </c>
      <c r="N18" s="14" t="str">
        <f>Inventory!L15</f>
        <v>hr/yr</v>
      </c>
      <c r="O18" s="114">
        <f>$G18/100*2*7/$C$41*$D18*7000*I18/2000</f>
        <v>0.61250000000000004</v>
      </c>
      <c r="P18" s="29" t="s">
        <v>24</v>
      </c>
      <c r="Q18" s="116">
        <f>$G18/100*2*7/$C$41*$D18*7000*K18/2000</f>
        <v>10.731</v>
      </c>
      <c r="R18" s="14" t="s">
        <v>24</v>
      </c>
      <c r="S18" s="117">
        <f>$G18/100*2*7/$C$41*$D18*7000*M18/2000</f>
        <v>1.2250000000000002E-3</v>
      </c>
      <c r="T18" s="27" t="s">
        <v>24</v>
      </c>
    </row>
    <row r="19" spans="1:20" ht="17.100000000000001" customHeight="1" thickBot="1" x14ac:dyDescent="0.25">
      <c r="A19" s="15">
        <f>Inventory!A16</f>
        <v>27</v>
      </c>
      <c r="B19" s="16" t="str">
        <f>Inventory!B16</f>
        <v>Caterpillar D-330C</v>
      </c>
      <c r="C19" s="403" t="str">
        <f>Inventory!D16</f>
        <v>Diesel</v>
      </c>
      <c r="D19" s="409">
        <f>Inventory!E16</f>
        <v>85</v>
      </c>
      <c r="E19" s="17" t="str">
        <f>Inventory!F16</f>
        <v>hp</v>
      </c>
      <c r="F19" s="16" t="s">
        <v>114</v>
      </c>
      <c r="G19" s="75">
        <v>0.5</v>
      </c>
      <c r="H19" s="17" t="s">
        <v>115</v>
      </c>
      <c r="I19" s="81">
        <f>Inventory!G16</f>
        <v>3000</v>
      </c>
      <c r="J19" s="91" t="s">
        <v>5</v>
      </c>
      <c r="K19" s="81">
        <f>Inventory!I16</f>
        <v>8760</v>
      </c>
      <c r="L19" s="91" t="str">
        <f>Inventory!J16</f>
        <v>hr/yr</v>
      </c>
      <c r="M19" s="81">
        <f>Inventory!K16</f>
        <v>19.5</v>
      </c>
      <c r="N19" s="91" t="str">
        <f>Inventory!L16</f>
        <v>hr/yr</v>
      </c>
      <c r="O19" s="137">
        <f>$G19/100*2*7/$C$41*$D19*7000*I19/2000</f>
        <v>0.45602189781021901</v>
      </c>
      <c r="P19" s="82" t="s">
        <v>24</v>
      </c>
      <c r="Q19" s="134">
        <f>$G19/100*2*7/$C$41*$D19*7000*K19/2000</f>
        <v>1.3315839416058395</v>
      </c>
      <c r="R19" s="91" t="s">
        <v>24</v>
      </c>
      <c r="S19" s="316">
        <f>$G19/100*2*7/$C$41*$D19*7000*M19/2000</f>
        <v>2.9641423357664233E-3</v>
      </c>
      <c r="T19" s="83" t="s">
        <v>24</v>
      </c>
    </row>
    <row r="20" spans="1:20" ht="17.100000000000001" customHeight="1" thickBot="1" x14ac:dyDescent="0.25">
      <c r="H20" s="70" t="s">
        <v>23</v>
      </c>
      <c r="J20" s="33"/>
      <c r="O20" s="459">
        <f>SUM(O5:O19)</f>
        <v>102.2338503649635</v>
      </c>
      <c r="P20" s="460" t="s">
        <v>24</v>
      </c>
      <c r="Q20" s="464">
        <f>SUM(Q5:Q19)</f>
        <v>710.03418601554586</v>
      </c>
      <c r="R20" s="460" t="s">
        <v>24</v>
      </c>
      <c r="S20" s="464">
        <f>SUM(S5:S19)</f>
        <v>68.683089876313133</v>
      </c>
      <c r="T20" s="458" t="s">
        <v>24</v>
      </c>
    </row>
    <row r="21" spans="1:20" ht="17.100000000000001" customHeight="1" x14ac:dyDescent="0.2"/>
    <row r="22" spans="1:20" ht="17.100000000000001" customHeight="1" x14ac:dyDescent="0.25">
      <c r="A22" s="517" t="s">
        <v>221</v>
      </c>
      <c r="B22" s="517"/>
      <c r="C22" s="517"/>
      <c r="D22" s="517"/>
      <c r="E22" s="517"/>
      <c r="F22" s="517"/>
      <c r="G22" s="517"/>
      <c r="H22" s="517"/>
      <c r="I22" s="517"/>
      <c r="J22" s="517"/>
      <c r="K22" s="517"/>
      <c r="L22" s="517"/>
      <c r="M22" s="517"/>
      <c r="N22" s="517"/>
      <c r="O22" s="517"/>
      <c r="P22" s="517"/>
    </row>
    <row r="23" spans="1:20" ht="17.100000000000001" customHeight="1" x14ac:dyDescent="0.2">
      <c r="A23" s="517" t="str">
        <f>A2</f>
        <v>Hilcorp Alaska, LLC - Grayling Platform</v>
      </c>
      <c r="B23" s="517"/>
      <c r="C23" s="517"/>
      <c r="D23" s="517"/>
      <c r="E23" s="517"/>
      <c r="F23" s="517"/>
      <c r="G23" s="517"/>
      <c r="H23" s="517"/>
      <c r="I23" s="517"/>
      <c r="J23" s="517"/>
      <c r="K23" s="517"/>
      <c r="L23" s="517"/>
      <c r="M23" s="517"/>
      <c r="N23" s="517"/>
      <c r="O23" s="517"/>
      <c r="P23" s="517"/>
    </row>
    <row r="24" spans="1:20" ht="17.100000000000001" customHeight="1" thickBot="1" x14ac:dyDescent="0.25"/>
    <row r="25" spans="1:20" ht="30.95" customHeight="1" thickBot="1" x14ac:dyDescent="0.25">
      <c r="A25" s="104" t="s">
        <v>0</v>
      </c>
      <c r="B25" s="393" t="s">
        <v>205</v>
      </c>
      <c r="C25" s="393" t="s">
        <v>1</v>
      </c>
      <c r="D25" s="525" t="s">
        <v>2</v>
      </c>
      <c r="E25" s="525"/>
      <c r="F25" s="395" t="s">
        <v>16</v>
      </c>
      <c r="G25" s="548" t="s">
        <v>17</v>
      </c>
      <c r="H25" s="561"/>
      <c r="I25" s="525" t="s">
        <v>3</v>
      </c>
      <c r="J25" s="525"/>
      <c r="K25" s="561" t="s">
        <v>204</v>
      </c>
      <c r="L25" s="526"/>
      <c r="M25" s="402"/>
      <c r="N25" s="402"/>
      <c r="O25" s="561" t="s">
        <v>120</v>
      </c>
      <c r="P25" s="526"/>
    </row>
    <row r="26" spans="1:20" ht="17.100000000000001" customHeight="1" thickTop="1" x14ac:dyDescent="0.3">
      <c r="A26" s="5" t="str">
        <f>Inventory!A26</f>
        <v>N/A</v>
      </c>
      <c r="B26" s="6" t="str">
        <f>Inventory!B26</f>
        <v>Clayton ROG-60-1 Boiler</v>
      </c>
      <c r="C26" s="10" t="str">
        <f>Inventory!D26</f>
        <v>Fuel Gas</v>
      </c>
      <c r="D26" s="11">
        <f>Inventory!E26</f>
        <v>2.5</v>
      </c>
      <c r="E26" s="12" t="str">
        <f>Inventory!F26</f>
        <v>MMBtu/hr</v>
      </c>
      <c r="F26" s="32" t="s">
        <v>114</v>
      </c>
      <c r="G26" s="453">
        <v>650</v>
      </c>
      <c r="H26" s="454" t="s">
        <v>376</v>
      </c>
      <c r="I26" s="19">
        <f>Inventory!G26</f>
        <v>8760</v>
      </c>
      <c r="J26" s="7" t="str">
        <f>Inventory!H26</f>
        <v>hr/yr</v>
      </c>
      <c r="K26" s="114">
        <f>$G26/379.6*64/$C$39*I26/2000*$D26</f>
        <v>1.1799410029498527</v>
      </c>
      <c r="L26" s="24" t="s">
        <v>24</v>
      </c>
      <c r="O26" s="455">
        <f>K26</f>
        <v>1.1799410029498527</v>
      </c>
      <c r="P26" s="456" t="s">
        <v>24</v>
      </c>
    </row>
    <row r="27" spans="1:20" ht="17.100000000000001" customHeight="1" x14ac:dyDescent="0.2">
      <c r="A27" s="5" t="str">
        <f>Inventory!A27</f>
        <v>N/A</v>
      </c>
      <c r="B27" s="6" t="str">
        <f>Inventory!B27</f>
        <v>Portable Space Heaters</v>
      </c>
      <c r="C27" s="10" t="str">
        <f>Inventory!D27</f>
        <v>Diesel</v>
      </c>
      <c r="D27" s="11">
        <f>Inventory!E27</f>
        <v>8</v>
      </c>
      <c r="E27" s="12" t="str">
        <f>Inventory!F27</f>
        <v>MMBtu/hr</v>
      </c>
      <c r="F27" s="32" t="s">
        <v>114</v>
      </c>
      <c r="G27" s="4">
        <v>0.5</v>
      </c>
      <c r="H27" s="3" t="s">
        <v>115</v>
      </c>
      <c r="I27" s="19">
        <f>Inventory!G27</f>
        <v>8760</v>
      </c>
      <c r="J27" s="7" t="str">
        <f>Inventory!H27</f>
        <v>hr/yr</v>
      </c>
      <c r="K27" s="145">
        <f>$G27/100*2*7/$C$41*1000000*D27*I27/2000</f>
        <v>17.903649635036498</v>
      </c>
      <c r="L27" s="24" t="s">
        <v>24</v>
      </c>
      <c r="O27" s="114">
        <f t="shared" ref="O27:O30" si="0">K27</f>
        <v>17.903649635036498</v>
      </c>
      <c r="P27" s="24" t="s">
        <v>24</v>
      </c>
    </row>
    <row r="28" spans="1:20" ht="17.100000000000001" customHeight="1" x14ac:dyDescent="0.3">
      <c r="A28" s="5" t="str">
        <f>Inventory!A28</f>
        <v>N/A</v>
      </c>
      <c r="B28" s="6" t="str">
        <f>Inventory!B28</f>
        <v>Clayton Sigma Fire</v>
      </c>
      <c r="C28" s="10" t="str">
        <f>Inventory!D28</f>
        <v>Fuel Gas</v>
      </c>
      <c r="D28" s="11">
        <f>Inventory!E28</f>
        <v>50</v>
      </c>
      <c r="E28" s="12" t="str">
        <f>Inventory!F28</f>
        <v>bhp</v>
      </c>
      <c r="F28" s="6" t="s">
        <v>114</v>
      </c>
      <c r="G28" s="453">
        <v>650</v>
      </c>
      <c r="H28" s="454" t="s">
        <v>376</v>
      </c>
      <c r="I28" s="19">
        <f>Inventory!G28</f>
        <v>8760</v>
      </c>
      <c r="J28" s="7" t="str">
        <f>Inventory!H28</f>
        <v>hr/yr</v>
      </c>
      <c r="K28" s="114">
        <f>$G28/379.6*64/$C$39*I28/2000*$D28*$C$40/1000000</f>
        <v>0.79006489675516223</v>
      </c>
      <c r="L28" s="24" t="s">
        <v>24</v>
      </c>
      <c r="O28" s="455">
        <f t="shared" si="0"/>
        <v>0.79006489675516223</v>
      </c>
      <c r="P28" s="456" t="s">
        <v>24</v>
      </c>
    </row>
    <row r="29" spans="1:20" ht="17.100000000000001" customHeight="1" x14ac:dyDescent="0.3">
      <c r="A29" s="5" t="str">
        <f>Inventory!A29</f>
        <v>19a</v>
      </c>
      <c r="B29" s="6" t="str">
        <f>Inventory!B29</f>
        <v>Riello AR 400 Boiler</v>
      </c>
      <c r="C29" s="10" t="str">
        <f>Inventory!D29</f>
        <v>Fuel Gas</v>
      </c>
      <c r="D29" s="11">
        <f>Inventory!E29</f>
        <v>4</v>
      </c>
      <c r="E29" s="12" t="str">
        <f>Inventory!F29</f>
        <v>MMBtu/hr</v>
      </c>
      <c r="F29" s="6" t="s">
        <v>114</v>
      </c>
      <c r="G29" s="453">
        <v>650</v>
      </c>
      <c r="H29" s="454" t="s">
        <v>376</v>
      </c>
      <c r="I29" s="19">
        <f>Inventory!G29</f>
        <v>8760</v>
      </c>
      <c r="J29" s="7" t="str">
        <f>Inventory!H29</f>
        <v>hr/yr</v>
      </c>
      <c r="K29" s="114">
        <f>$G29/379.6*64/$C$39*I29/2000*$D29</f>
        <v>1.8879056047197642</v>
      </c>
      <c r="L29" s="24" t="s">
        <v>24</v>
      </c>
      <c r="O29" s="455">
        <f t="shared" si="0"/>
        <v>1.8879056047197642</v>
      </c>
      <c r="P29" s="456" t="s">
        <v>24</v>
      </c>
    </row>
    <row r="30" spans="1:20" ht="17.100000000000001" customHeight="1" x14ac:dyDescent="0.3">
      <c r="A30" s="5" t="str">
        <f>Inventory!A30</f>
        <v>19b</v>
      </c>
      <c r="B30" s="6" t="str">
        <f>Inventory!B30</f>
        <v>Riello AR 400 Boiler</v>
      </c>
      <c r="C30" s="10" t="str">
        <f>Inventory!D30</f>
        <v>Fuel Gas</v>
      </c>
      <c r="D30" s="11">
        <f>Inventory!E30</f>
        <v>4</v>
      </c>
      <c r="E30" s="12" t="str">
        <f>Inventory!F30</f>
        <v>MMBtu/hr</v>
      </c>
      <c r="F30" s="6" t="s">
        <v>114</v>
      </c>
      <c r="G30" s="453">
        <v>650</v>
      </c>
      <c r="H30" s="454" t="s">
        <v>376</v>
      </c>
      <c r="I30" s="19">
        <f>Inventory!G30</f>
        <v>8760</v>
      </c>
      <c r="J30" s="7" t="str">
        <f>Inventory!H30</f>
        <v>hr/yr</v>
      </c>
      <c r="K30" s="114">
        <f>$G30/379.6*64/$C$39*I30/2000*$D30</f>
        <v>1.8879056047197642</v>
      </c>
      <c r="L30" s="24" t="s">
        <v>24</v>
      </c>
      <c r="O30" s="455">
        <f t="shared" si="0"/>
        <v>1.8879056047197642</v>
      </c>
      <c r="P30" s="456" t="s">
        <v>24</v>
      </c>
    </row>
    <row r="31" spans="1:20" s="150" customFormat="1" ht="17.100000000000001" customHeight="1" x14ac:dyDescent="0.3">
      <c r="A31" s="5" t="str">
        <f>Inventory!A31</f>
        <v>20a</v>
      </c>
      <c r="B31" s="6" t="str">
        <f>Inventory!B31</f>
        <v>Riello AR 400 Boiler</v>
      </c>
      <c r="C31" s="10" t="str">
        <f>Inventory!D31</f>
        <v>Fuel Gas</v>
      </c>
      <c r="D31" s="13">
        <f>Inventory!E31</f>
        <v>4</v>
      </c>
      <c r="E31" s="12" t="str">
        <f>Inventory!F31</f>
        <v>MMBtu/hr</v>
      </c>
      <c r="F31" s="6" t="s">
        <v>114</v>
      </c>
      <c r="G31" s="453">
        <v>650</v>
      </c>
      <c r="H31" s="454" t="s">
        <v>376</v>
      </c>
      <c r="I31" s="19">
        <f>Inventory!G31</f>
        <v>8760</v>
      </c>
      <c r="J31" s="7" t="str">
        <f>Inventory!H31</f>
        <v>hr/yr</v>
      </c>
      <c r="K31" s="114">
        <f>$G31/379.6*64/$C$39*I31/2000*$D31</f>
        <v>1.8879056047197642</v>
      </c>
      <c r="L31" s="24" t="s">
        <v>24</v>
      </c>
      <c r="M31" s="1"/>
      <c r="N31" s="1"/>
      <c r="O31" s="455">
        <f t="shared" ref="O31" si="1">K31</f>
        <v>1.8879056047197642</v>
      </c>
      <c r="P31" s="456" t="s">
        <v>24</v>
      </c>
    </row>
    <row r="32" spans="1:20" s="150" customFormat="1" ht="17.100000000000001" customHeight="1" thickBot="1" x14ac:dyDescent="0.25">
      <c r="A32" s="15" t="str">
        <f>Inventory!A32</f>
        <v>N/A</v>
      </c>
      <c r="B32" s="16" t="str">
        <f>Inventory!B32</f>
        <v>Diesel Fuel Tank (G-T-3090)</v>
      </c>
      <c r="C32" s="403" t="str">
        <f>Inventory!D32</f>
        <v>N/A</v>
      </c>
      <c r="D32" s="409">
        <f>Inventory!E32</f>
        <v>2547</v>
      </c>
      <c r="E32" s="17" t="str">
        <f>Inventory!F32</f>
        <v>barrels</v>
      </c>
      <c r="F32" s="16" t="s">
        <v>114</v>
      </c>
      <c r="G32" s="81">
        <v>3</v>
      </c>
      <c r="H32" s="91" t="s">
        <v>272</v>
      </c>
      <c r="I32" s="406"/>
      <c r="J32" s="406"/>
      <c r="K32" s="406"/>
      <c r="L32" s="406"/>
      <c r="M32" s="406"/>
      <c r="N32" s="406"/>
      <c r="O32" s="405">
        <v>0</v>
      </c>
      <c r="P32" s="25" t="s">
        <v>24</v>
      </c>
    </row>
    <row r="33" spans="1:16" ht="17.100000000000001" customHeight="1" thickBot="1" x14ac:dyDescent="0.25">
      <c r="H33" s="70" t="s">
        <v>23</v>
      </c>
      <c r="I33" s="22"/>
      <c r="K33" s="132">
        <f>SUM(K26:K32)</f>
        <v>25.53737234890081</v>
      </c>
      <c r="L33" s="36" t="s">
        <v>24</v>
      </c>
      <c r="O33" s="457">
        <f>SUM(O26:O32)</f>
        <v>25.53737234890081</v>
      </c>
      <c r="P33" s="458" t="s">
        <v>24</v>
      </c>
    </row>
    <row r="34" spans="1:16" s="35" customFormat="1" ht="17.100000000000001" customHeight="1" x14ac:dyDescent="0.2">
      <c r="A34" s="446" t="s">
        <v>168</v>
      </c>
      <c r="B34" s="55"/>
      <c r="C34" s="55"/>
      <c r="D34" s="1"/>
    </row>
    <row r="35" spans="1:16" s="35" customFormat="1" ht="17.100000000000001" customHeight="1" x14ac:dyDescent="0.2">
      <c r="B35" s="34" t="s">
        <v>101</v>
      </c>
      <c r="C35" s="84">
        <v>8960</v>
      </c>
      <c r="D35" s="34" t="s">
        <v>15</v>
      </c>
    </row>
    <row r="36" spans="1:16" s="35" customFormat="1" ht="17.100000000000001" customHeight="1" x14ac:dyDescent="0.2">
      <c r="B36" s="34" t="s">
        <v>102</v>
      </c>
      <c r="C36" s="84">
        <v>11138</v>
      </c>
      <c r="D36" s="34" t="s">
        <v>15</v>
      </c>
    </row>
    <row r="37" spans="1:16" s="35" customFormat="1" ht="17.100000000000001" customHeight="1" x14ac:dyDescent="0.2">
      <c r="B37" s="34" t="s">
        <v>103</v>
      </c>
      <c r="C37" s="84">
        <v>16122</v>
      </c>
      <c r="D37" s="34" t="s">
        <v>104</v>
      </c>
    </row>
    <row r="38" spans="1:16" s="35" customFormat="1" ht="17.100000000000001" customHeight="1" x14ac:dyDescent="0.2">
      <c r="B38" s="34" t="s">
        <v>105</v>
      </c>
      <c r="C38" s="84">
        <v>11277</v>
      </c>
      <c r="D38" s="34" t="s">
        <v>15</v>
      </c>
    </row>
    <row r="39" spans="1:16" s="35" customFormat="1" ht="17.100000000000001" customHeight="1" x14ac:dyDescent="0.2">
      <c r="B39" s="34" t="s">
        <v>13</v>
      </c>
      <c r="C39" s="84">
        <v>1017</v>
      </c>
      <c r="D39" s="34" t="s">
        <v>14</v>
      </c>
    </row>
    <row r="40" spans="1:16" s="35" customFormat="1" ht="17.100000000000001" customHeight="1" x14ac:dyDescent="0.2">
      <c r="B40" s="34" t="s">
        <v>106</v>
      </c>
      <c r="C40" s="84">
        <v>33479</v>
      </c>
      <c r="D40" s="34" t="s">
        <v>107</v>
      </c>
    </row>
    <row r="41" spans="1:16" s="35" customFormat="1" ht="17.100000000000001" customHeight="1" x14ac:dyDescent="0.2">
      <c r="B41" s="34" t="s">
        <v>11</v>
      </c>
      <c r="C41" s="84">
        <v>137000</v>
      </c>
      <c r="D41" s="34" t="s">
        <v>12</v>
      </c>
    </row>
    <row r="42" spans="1:16" x14ac:dyDescent="0.2">
      <c r="A42" s="35"/>
    </row>
    <row r="43" spans="1:16" x14ac:dyDescent="0.2">
      <c r="B43" s="43"/>
    </row>
    <row r="44" spans="1:16" x14ac:dyDescent="0.2">
      <c r="B44" s="43"/>
    </row>
    <row r="45" spans="1:16" ht="14.25" x14ac:dyDescent="0.2">
      <c r="B45" s="56"/>
      <c r="C45" s="85"/>
    </row>
    <row r="46" spans="1:16" x14ac:dyDescent="0.2">
      <c r="C46" s="35"/>
      <c r="D46" s="35"/>
    </row>
    <row r="47" spans="1:16" x14ac:dyDescent="0.2">
      <c r="C47" s="35"/>
      <c r="D47" s="35"/>
    </row>
    <row r="48" spans="1:16" x14ac:dyDescent="0.2">
      <c r="C48" s="86"/>
      <c r="D48" s="35"/>
    </row>
  </sheetData>
  <mergeCells count="32">
    <mergeCell ref="A1:T1"/>
    <mergeCell ref="A2:T2"/>
    <mergeCell ref="D4:E4"/>
    <mergeCell ref="G4:H4"/>
    <mergeCell ref="I4:J4"/>
    <mergeCell ref="O4:P4"/>
    <mergeCell ref="K4:L4"/>
    <mergeCell ref="Q4:R4"/>
    <mergeCell ref="M4:N4"/>
    <mergeCell ref="S4:T4"/>
    <mergeCell ref="T13:T14"/>
    <mergeCell ref="Q13:Q14"/>
    <mergeCell ref="J13:J14"/>
    <mergeCell ref="K13:K14"/>
    <mergeCell ref="L13:L14"/>
    <mergeCell ref="O5:O15"/>
    <mergeCell ref="P5:P15"/>
    <mergeCell ref="A23:P23"/>
    <mergeCell ref="R13:R14"/>
    <mergeCell ref="M13:M14"/>
    <mergeCell ref="N13:N14"/>
    <mergeCell ref="S13:S14"/>
    <mergeCell ref="F13:F14"/>
    <mergeCell ref="G13:G14"/>
    <mergeCell ref="H13:H14"/>
    <mergeCell ref="I13:I14"/>
    <mergeCell ref="A22:P22"/>
    <mergeCell ref="O25:P25"/>
    <mergeCell ref="D25:E25"/>
    <mergeCell ref="G25:H25"/>
    <mergeCell ref="I25:J25"/>
    <mergeCell ref="K25:L25"/>
  </mergeCells>
  <printOptions horizontalCentered="1"/>
  <pageMargins left="0.5" right="0.5" top="0.5" bottom="1" header="0.3" footer="0.3"/>
  <pageSetup scale="66" orientation="landscape" r:id="rId1"/>
  <headerFooter scaleWithDoc="0">
    <oddFooter>&amp;L&amp;"Arial,Regular"&amp;9Hilcorp Alaska, LLC
Grayling Platform
Fuel Gas H&amp;Y2&amp;YS Increase Project&amp;R&amp;"Arial,Regular"&amp;9October 2023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vt:i4>
      </vt:variant>
    </vt:vector>
  </HeadingPairs>
  <TitlesOfParts>
    <vt:vector size="24" baseType="lpstr">
      <vt:lpstr>Emission Summary</vt:lpstr>
      <vt:lpstr>Sig. HAPs Summary</vt:lpstr>
      <vt:lpstr>Insig. HAPs Summary</vt:lpstr>
      <vt:lpstr>Inventory</vt:lpstr>
      <vt:lpstr>NOx</vt:lpstr>
      <vt:lpstr>CO</vt:lpstr>
      <vt:lpstr>PM-10</vt:lpstr>
      <vt:lpstr>VOC</vt:lpstr>
      <vt:lpstr>SO2</vt:lpstr>
      <vt:lpstr>CO2e</vt:lpstr>
      <vt:lpstr>HAPs - Turbines</vt:lpstr>
      <vt:lpstr>HAPs - Gas Boilers</vt:lpstr>
      <vt:lpstr>HAPs - Diesel Engines &lt; 600 hp</vt:lpstr>
      <vt:lpstr>HAPs - Diesel Engines &gt; 600</vt:lpstr>
      <vt:lpstr>HAPs - Flares</vt:lpstr>
      <vt:lpstr>HAPs - Diesel Heaters</vt:lpstr>
      <vt:lpstr>Diesel Tank</vt:lpstr>
      <vt:lpstr>CO2e!Print_Area</vt:lpstr>
      <vt:lpstr>'HAPs - Diesel Engines &lt; 600 hp'!Print_Area</vt:lpstr>
      <vt:lpstr>'HAPs - Diesel Engines &gt; 600'!Print_Area</vt:lpstr>
      <vt:lpstr>'HAPs - Flares'!Print_Area</vt:lpstr>
      <vt:lpstr>'HAPs - Gas Boilers'!Print_Area</vt:lpstr>
      <vt:lpstr>'HAPs - Turbines'!Print_Area</vt:lpstr>
      <vt:lpstr>NOx!Print_Area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Krystin McClure</dc:creator>
  <cp:lastModifiedBy>Chavez, Lott S (DEC)</cp:lastModifiedBy>
  <cp:lastPrinted>2023-09-28T02:17:53Z</cp:lastPrinted>
  <dcterms:created xsi:type="dcterms:W3CDTF">2021-06-29T18:50:10Z</dcterms:created>
  <dcterms:modified xsi:type="dcterms:W3CDTF">2023-12-06T00:13:31Z</dcterms:modified>
</cp:coreProperties>
</file>