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acolvin\Desktop\"/>
    </mc:Choice>
  </mc:AlternateContent>
  <bookViews>
    <workbookView xWindow="0" yWindow="0" windowWidth="28545" windowHeight="13140" activeTab="2"/>
  </bookViews>
  <sheets>
    <sheet name="1. Area Fill" sheetId="1" r:id="rId1"/>
    <sheet name="2. Bermed Area Fill" sheetId="3" r:id="rId2"/>
    <sheet name="3. Trench and Fill" sheetId="2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2" i="3" l="1"/>
  <c r="B65" i="3"/>
  <c r="B65" i="2" l="1"/>
  <c r="C44" i="2" l="1"/>
  <c r="C34" i="3" l="1"/>
  <c r="C19" i="1"/>
  <c r="B66" i="3" l="1"/>
  <c r="B76" i="3" s="1"/>
  <c r="B75" i="3"/>
  <c r="B64" i="3"/>
  <c r="B63" i="3"/>
  <c r="B74" i="3" l="1"/>
  <c r="B78" i="3" s="1"/>
  <c r="B67" i="3"/>
  <c r="B68" i="3"/>
  <c r="B61" i="3"/>
  <c r="B50" i="3"/>
  <c r="B51" i="3" s="1"/>
  <c r="B80" i="3" l="1"/>
  <c r="B79" i="3"/>
  <c r="B77" i="3"/>
  <c r="B81" i="3" s="1"/>
  <c r="C67" i="3"/>
  <c r="B69" i="3"/>
  <c r="B82" i="3"/>
  <c r="B52" i="3"/>
  <c r="B53" i="3" s="1"/>
  <c r="B54" i="3" s="1"/>
  <c r="B66" i="2"/>
  <c r="B69" i="2" s="1"/>
  <c r="C19" i="2"/>
  <c r="B67" i="2" s="1"/>
  <c r="B70" i="2" l="1"/>
  <c r="B83" i="3"/>
  <c r="B90" i="3" s="1"/>
  <c r="B89" i="3"/>
  <c r="B68" i="2"/>
  <c r="B55" i="2"/>
  <c r="B56" i="2" s="1"/>
  <c r="B55" i="3" l="1"/>
  <c r="B56" i="3" s="1"/>
  <c r="B57" i="2"/>
  <c r="B58" i="2" s="1"/>
  <c r="B59" i="2" s="1"/>
  <c r="B35" i="1"/>
  <c r="B45" i="1"/>
  <c r="B46" i="1"/>
  <c r="B50" i="1"/>
  <c r="B49" i="1"/>
  <c r="B47" i="1"/>
  <c r="B48" i="1" s="1"/>
  <c r="B84" i="3" l="1"/>
  <c r="B71" i="3"/>
  <c r="B85" i="3"/>
  <c r="B70" i="3"/>
  <c r="B60" i="2"/>
  <c r="B61" i="2" s="1"/>
  <c r="B71" i="2" s="1"/>
  <c r="B51" i="1"/>
  <c r="B52" i="1" s="1"/>
  <c r="B36" i="1"/>
  <c r="B91" i="3" l="1"/>
  <c r="B92" i="3"/>
  <c r="B72" i="2"/>
  <c r="B37" i="1"/>
  <c r="B38" i="1" l="1"/>
  <c r="B39" i="1" l="1"/>
  <c r="B40" i="1" s="1"/>
  <c r="B41" i="1" s="1"/>
  <c r="B53" i="1" l="1"/>
  <c r="B54" i="1"/>
</calcChain>
</file>

<file path=xl/sharedStrings.xml><?xml version="1.0" encoding="utf-8"?>
<sst xmlns="http://schemas.openxmlformats.org/spreadsheetml/2006/main" count="178" uniqueCount="109">
  <si>
    <t>Current Landfill Conditions</t>
  </si>
  <si>
    <t>Current Height of Waste above Ground (feet)</t>
  </si>
  <si>
    <t>Current Volume of Waste Disposed (CY):</t>
  </si>
  <si>
    <t>Total Capacity of Landfill (CY):</t>
  </si>
  <si>
    <t>Remaining Capacity (CY):</t>
  </si>
  <si>
    <t>Total Life Expectancy of Landfill (YR):</t>
  </si>
  <si>
    <t>Remaining Life Expectance of Landfill (YR):</t>
  </si>
  <si>
    <t>Waste Volume Reduction</t>
  </si>
  <si>
    <t>Width of Landfill Footprint (feet)</t>
  </si>
  <si>
    <t>Length of Landfill Footprint (feet)</t>
  </si>
  <si>
    <t>Waste Generation Estimates</t>
  </si>
  <si>
    <t>Assumed Waste Generation Rate (pounds per person per day)</t>
  </si>
  <si>
    <t>Loose Waste Density (pre-disposal or processing)  (pounds/cubic yard)</t>
  </si>
  <si>
    <t>250 - 300</t>
  </si>
  <si>
    <t>What is Population of Community (average population)</t>
  </si>
  <si>
    <t>Recycled Volume (CY):</t>
  </si>
  <si>
    <t>Non-Burnable Direct Dispose Volume (CY):</t>
  </si>
  <si>
    <t>Volume of Ash (CY):</t>
  </si>
  <si>
    <t>Volume Disposed Pre-Compaction (CY):</t>
  </si>
  <si>
    <t>Final Volume After Compaction (CY):</t>
  </si>
  <si>
    <t>Lifespan Calculations</t>
  </si>
  <si>
    <t xml:space="preserve">Side Slope of Landfill (%) </t>
  </si>
  <si>
    <t>2 to 1 Slope = 50% 
3 to 1 Slope = 33% 
4 to 1 Slope = 25%</t>
  </si>
  <si>
    <t>Calculated top length at capacity of LF (ft):</t>
  </si>
  <si>
    <t>Calculated top width at capacity of LF (ft):</t>
  </si>
  <si>
    <t>Calculated current top length of LF (ft):</t>
  </si>
  <si>
    <t>Calculated current top width of LF (ft):</t>
  </si>
  <si>
    <t>Calculated Area of Landfill Footprint (acres):</t>
  </si>
  <si>
    <t>Final Design Height for Landfill (feet)</t>
  </si>
  <si>
    <t>Waste Generated Per Day (lbs):</t>
  </si>
  <si>
    <t>Waste Volume Generated per day (CY):</t>
  </si>
  <si>
    <t>Daily Waste Generation Calculations</t>
  </si>
  <si>
    <t>Trench Dimensions</t>
  </si>
  <si>
    <t>Distance between trenches (Lengthwise) (feet)</t>
  </si>
  <si>
    <t>Distance between trenches (Widthwise) (feet)</t>
  </si>
  <si>
    <t>Typical Trench Shape:</t>
  </si>
  <si>
    <t>(Enter 1 or 2)</t>
  </si>
  <si>
    <t>Current Site Conditions</t>
  </si>
  <si>
    <t>1 - 7</t>
  </si>
  <si>
    <t>Calculated Potential Number Trenches, based on available footprint and even grid</t>
  </si>
  <si>
    <t>1) Dug with Excavator - Near Vertical Sidewalls</t>
  </si>
  <si>
    <t xml:space="preserve">2) Dug with Loader - Bottom Slopes from ground surface to trench depth lengthwise at 3:1 </t>
  </si>
  <si>
    <t>To what percent is current trench filled (0 to 100%)</t>
  </si>
  <si>
    <t>Calculated Volume of Trench (CY):</t>
  </si>
  <si>
    <t>Calculated Total Waste Capacity of Landfill (CY):</t>
  </si>
  <si>
    <t>Number of Landfill Trenches:</t>
  </si>
  <si>
    <t>N</t>
  </si>
  <si>
    <t>How many trenches have been filled and closed</t>
  </si>
  <si>
    <t>Landfill Life Expectancy Calculator - Trench and Fill Landfill</t>
  </si>
  <si>
    <t>Landfill Dimensions</t>
  </si>
  <si>
    <t>Trench Length (feet)</t>
  </si>
  <si>
    <t>Trench Width (feet)</t>
  </si>
  <si>
    <t>Trench Depth (feet)</t>
  </si>
  <si>
    <t>Is total number of  trenches available?  (If so, enter number, otherwise, enter "N")</t>
  </si>
  <si>
    <t>Landfill Life Expectancy Calculator - Area Fill, Undesigned</t>
  </si>
  <si>
    <t>Landfill Life Expectancy Calculator - Above Grade Designed Area Fill</t>
  </si>
  <si>
    <t>Bermed Cell Dimensions</t>
  </si>
  <si>
    <t>Inside Bottom Length of Landfill  (feet)</t>
  </si>
  <si>
    <t>Inside Bottom Width of Landfill  (feet)</t>
  </si>
  <si>
    <t xml:space="preserve">Inside Slope of Berm (%) </t>
  </si>
  <si>
    <t>Height of Berm (measured as elevation above cell floot (feet)</t>
  </si>
  <si>
    <t xml:space="preserve">Side Slope of Vertical Expansion (%) </t>
  </si>
  <si>
    <t>Final Design Height for Landfill (feet above top of berm)</t>
  </si>
  <si>
    <t>Calculator for designed bermed above-grade landfill.  Option to increase capacity by adding lift above bermed area.</t>
  </si>
  <si>
    <t>Are waste operations still occuring within bermed area (Y or N)</t>
  </si>
  <si>
    <t>Vertical Expansion Cell</t>
  </si>
  <si>
    <t>Current Height of Waste in Expansion (if active)</t>
  </si>
  <si>
    <t>Calculated Area of Cell Base Footprint (acres):</t>
  </si>
  <si>
    <t>Calculated current length at waste level (ft):</t>
  </si>
  <si>
    <t>Calculated current width at waste level (ft):</t>
  </si>
  <si>
    <t>Calculated top length at capacity of cell (ft):</t>
  </si>
  <si>
    <t>Calculated top width at capacity of cell (ft):</t>
  </si>
  <si>
    <t>Total Capacity of Cell (CY):</t>
  </si>
  <si>
    <t>Total Life Expectancy of Cell (YR):</t>
  </si>
  <si>
    <t>Remaining Life Expectance of Cell (YR):</t>
  </si>
  <si>
    <t>1) Bermed Cell</t>
  </si>
  <si>
    <t>Calculated Area of Expansion Base Footprint (acres):</t>
  </si>
  <si>
    <t>Expansion Base Length (ft):</t>
  </si>
  <si>
    <t>Expansion Base Width (ft):</t>
  </si>
  <si>
    <t>2) Vertical Expansion</t>
  </si>
  <si>
    <t>Does the landfill plan to construct, a lift above the closed bermed cell (Y or N)</t>
  </si>
  <si>
    <t>Total Site Capacity</t>
  </si>
  <si>
    <t>Total Capacity (CY):</t>
  </si>
  <si>
    <t>Total Life Expectancy (YR):</t>
  </si>
  <si>
    <t>Remaining Life Expectancy (YR):</t>
  </si>
  <si>
    <t>Remaining Life Expectancy of Cell (YR):</t>
  </si>
  <si>
    <t>Percentage of Waste Stream Burned (%)</t>
  </si>
  <si>
    <t>What Percentage of Waste Stream is Recycled or Backhauled (%)</t>
  </si>
  <si>
    <t>Volume Reduction from Burning (%)</t>
  </si>
  <si>
    <t>Compaction Achieved at Landfill (%)</t>
  </si>
  <si>
    <t>1 -7 typical</t>
  </si>
  <si>
    <t>250 - 300 typical</t>
  </si>
  <si>
    <t>1 - 7 typical</t>
  </si>
  <si>
    <t>Compaction Achieved in Trench (%)</t>
  </si>
  <si>
    <t>Width of Berm at top (feet)</t>
  </si>
  <si>
    <t>One-Time Waste Disposal Impacts (polluted soil disposals or demolition debris disposals)</t>
  </si>
  <si>
    <t>Waste Type:</t>
  </si>
  <si>
    <t>Total (cy):</t>
  </si>
  <si>
    <t>Volume (cy):</t>
  </si>
  <si>
    <t>Polluted Soil</t>
  </si>
  <si>
    <t>Construction and Demolition Debris</t>
  </si>
  <si>
    <t xml:space="preserve">        to flat bottom (Swimming pool type shape)</t>
  </si>
  <si>
    <t>Useable Trench Depth (Depth minus cover) (ft):</t>
  </si>
  <si>
    <t>Amount of Cover Material for Closed Trenches (feet)</t>
  </si>
  <si>
    <t>0.5 - 2.0 feet</t>
  </si>
  <si>
    <t>n</t>
  </si>
  <si>
    <t>y</t>
  </si>
  <si>
    <t>Calculated Area of Landfill Base to Outside of Berms (acres):</t>
  </si>
  <si>
    <t xml:space="preserve">Outside Slope of Berm (%)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</si>
</sst>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rgb="FFCCECFF"/>
        <bgColor indexed="64"/>
      </patternFill>
    </fill>
  </fills>
  <borders count="4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0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/>
    <xf numFmtId="9" fontId="0" fillId="0" borderId="0" xfId="1" applyFont="1"/>
    <xf numFmtId="0" fontId="0" fillId="0" borderId="0" xfId="0" applyAlignment="1"/>
    <xf numFmtId="2" fontId="0" fillId="0" borderId="0" xfId="0" quotePrefix="1" applyNumberFormat="1" applyAlignment="1"/>
    <xf numFmtId="0" fontId="2" fillId="0" borderId="0" xfId="0" applyFont="1" applyAlignment="1"/>
    <xf numFmtId="0" fontId="0" fillId="0" borderId="0" xfId="0" quotePrefix="1" applyAlignment="1"/>
    <xf numFmtId="0" fontId="0" fillId="0" borderId="0" xfId="0" quotePrefix="1"/>
    <xf numFmtId="0" fontId="0" fillId="0" borderId="0" xfId="0" applyAlignment="1">
      <alignment horizontal="right"/>
    </xf>
    <xf numFmtId="0" fontId="0" fillId="0" borderId="0" xfId="0" applyAlignment="1">
      <alignment horizontal="right" wrapText="1"/>
    </xf>
    <xf numFmtId="0" fontId="2" fillId="0" borderId="0" xfId="0" applyFont="1"/>
    <xf numFmtId="0" fontId="0" fillId="0" borderId="0" xfId="0" applyAlignment="1">
      <alignment wrapText="1"/>
    </xf>
    <xf numFmtId="0" fontId="0" fillId="0" borderId="0" xfId="0" applyFont="1" applyAlignment="1">
      <alignment horizontal="right"/>
    </xf>
    <xf numFmtId="2" fontId="0" fillId="0" borderId="0" xfId="0" applyNumberFormat="1"/>
    <xf numFmtId="1" fontId="0" fillId="0" borderId="0" xfId="0" applyNumberFormat="1"/>
    <xf numFmtId="0" fontId="0" fillId="0" borderId="0" xfId="0" applyAlignment="1">
      <alignment horizontal="left"/>
    </xf>
    <xf numFmtId="164" fontId="0" fillId="0" borderId="0" xfId="0" applyNumberFormat="1" applyAlignment="1">
      <alignment horizontal="right"/>
    </xf>
    <xf numFmtId="0" fontId="0" fillId="0" borderId="0" xfId="0" quotePrefix="1" applyAlignment="1">
      <alignment horizontal="left"/>
    </xf>
    <xf numFmtId="0" fontId="0" fillId="2" borderId="0" xfId="0" applyFill="1"/>
    <xf numFmtId="9" fontId="0" fillId="2" borderId="0" xfId="1" applyFont="1" applyFill="1"/>
    <xf numFmtId="9" fontId="0" fillId="2" borderId="0" xfId="1" applyFont="1" applyFill="1" applyAlignment="1"/>
    <xf numFmtId="0" fontId="0" fillId="0" borderId="0" xfId="0" applyAlignment="1"/>
    <xf numFmtId="0" fontId="0" fillId="3" borderId="0" xfId="0" applyFill="1"/>
    <xf numFmtId="0" fontId="0" fillId="0" borderId="0" xfId="0" applyFill="1"/>
    <xf numFmtId="9" fontId="0" fillId="2" borderId="0" xfId="0" applyNumberFormat="1" applyFill="1"/>
    <xf numFmtId="9" fontId="0" fillId="0" borderId="0" xfId="0" applyNumberFormat="1"/>
    <xf numFmtId="0" fontId="0" fillId="0" borderId="0" xfId="0" applyAlignment="1"/>
    <xf numFmtId="0" fontId="0" fillId="0" borderId="0" xfId="0" applyAlignment="1"/>
    <xf numFmtId="0" fontId="0" fillId="0" borderId="0" xfId="0" applyAlignment="1"/>
    <xf numFmtId="0" fontId="3" fillId="0" borderId="0" xfId="0" applyFont="1" applyAlignment="1">
      <alignment horizontal="left"/>
    </xf>
    <xf numFmtId="0" fontId="0" fillId="4" borderId="0" xfId="0" applyFill="1"/>
    <xf numFmtId="2" fontId="0" fillId="4" borderId="0" xfId="0" applyNumberFormat="1" applyFill="1"/>
    <xf numFmtId="1" fontId="0" fillId="5" borderId="0" xfId="0" applyNumberFormat="1" applyFill="1"/>
    <xf numFmtId="0" fontId="0" fillId="2" borderId="0" xfId="0" applyFill="1" applyAlignment="1">
      <alignment horizontal="right"/>
    </xf>
    <xf numFmtId="164" fontId="0" fillId="5" borderId="0" xfId="0" applyNumberFormat="1" applyFill="1"/>
    <xf numFmtId="2" fontId="3" fillId="0" borderId="1" xfId="0" quotePrefix="1" applyNumberFormat="1" applyFont="1" applyBorder="1" applyAlignment="1"/>
    <xf numFmtId="0" fontId="3" fillId="0" borderId="1" xfId="0" applyFont="1" applyFill="1" applyBorder="1"/>
    <xf numFmtId="0" fontId="0" fillId="0" borderId="1" xfId="0" applyBorder="1" applyAlignment="1"/>
    <xf numFmtId="0" fontId="0" fillId="2" borderId="2" xfId="0" applyFill="1" applyBorder="1"/>
    <xf numFmtId="0" fontId="0" fillId="2" borderId="3" xfId="0" applyFill="1" applyBorder="1"/>
    <xf numFmtId="0" fontId="0" fillId="0" borderId="2" xfId="0" applyFill="1" applyBorder="1"/>
    <xf numFmtId="2" fontId="0" fillId="5" borderId="0" xfId="0" applyNumberFormat="1" applyFill="1"/>
    <xf numFmtId="0" fontId="0" fillId="0" borderId="0" xfId="0" applyAlignment="1">
      <alignment horizontal="center"/>
    </xf>
    <xf numFmtId="2" fontId="0" fillId="0" borderId="2" xfId="0" quotePrefix="1" applyNumberFormat="1" applyBorder="1" applyAlignment="1">
      <alignment horizontal="center"/>
    </xf>
    <xf numFmtId="2" fontId="0" fillId="0" borderId="2" xfId="0" quotePrefix="1" applyNumberForma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 wrapText="1"/>
    </xf>
    <xf numFmtId="0" fontId="0" fillId="2" borderId="0" xfId="0" applyFill="1" applyAlignment="1">
      <alignment horizontal="right" vertical="center"/>
    </xf>
    <xf numFmtId="0" fontId="0" fillId="0" borderId="0" xfId="0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CCECFF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4"/>
  <sheetViews>
    <sheetView workbookViewId="0">
      <selection activeCell="D20" sqref="D20"/>
    </sheetView>
  </sheetViews>
  <sheetFormatPr defaultRowHeight="15" x14ac:dyDescent="0.25"/>
  <cols>
    <col min="1" max="1" width="64.28515625" customWidth="1"/>
    <col min="2" max="2" width="20.140625" customWidth="1"/>
    <col min="3" max="3" width="12.5703125" customWidth="1"/>
    <col min="4" max="4" width="27.42578125" customWidth="1"/>
    <col min="7" max="7" width="15.28515625" customWidth="1"/>
  </cols>
  <sheetData>
    <row r="1" spans="1:3" x14ac:dyDescent="0.25">
      <c r="A1" t="s">
        <v>54</v>
      </c>
    </row>
    <row r="3" spans="1:3" x14ac:dyDescent="0.25">
      <c r="A3" t="s">
        <v>0</v>
      </c>
    </row>
    <row r="5" spans="1:3" x14ac:dyDescent="0.25">
      <c r="A5" t="s">
        <v>9</v>
      </c>
      <c r="C5" s="19">
        <v>400</v>
      </c>
    </row>
    <row r="6" spans="1:3" x14ac:dyDescent="0.25">
      <c r="A6" t="s">
        <v>8</v>
      </c>
      <c r="C6" s="19">
        <v>400</v>
      </c>
    </row>
    <row r="7" spans="1:3" ht="45" x14ac:dyDescent="0.25">
      <c r="A7" s="2" t="s">
        <v>21</v>
      </c>
      <c r="B7" s="12" t="s">
        <v>22</v>
      </c>
      <c r="C7" s="20">
        <v>0.33</v>
      </c>
    </row>
    <row r="8" spans="1:3" x14ac:dyDescent="0.25">
      <c r="A8" s="2"/>
      <c r="B8" s="2"/>
    </row>
    <row r="9" spans="1:3" x14ac:dyDescent="0.25">
      <c r="A9" s="2" t="s">
        <v>1</v>
      </c>
      <c r="B9" s="5"/>
      <c r="C9" s="19">
        <v>10</v>
      </c>
    </row>
    <row r="10" spans="1:3" x14ac:dyDescent="0.25">
      <c r="A10" s="2" t="s">
        <v>28</v>
      </c>
      <c r="B10" s="5"/>
      <c r="C10" s="19">
        <v>15</v>
      </c>
    </row>
    <row r="11" spans="1:3" x14ac:dyDescent="0.25">
      <c r="A11" s="29"/>
      <c r="B11" s="5"/>
      <c r="C11" s="24"/>
    </row>
    <row r="12" spans="1:3" x14ac:dyDescent="0.25">
      <c r="A12" s="6" t="s">
        <v>95</v>
      </c>
      <c r="B12" s="5"/>
      <c r="C12" s="24"/>
    </row>
    <row r="13" spans="1:3" x14ac:dyDescent="0.25">
      <c r="A13" s="44" t="s">
        <v>96</v>
      </c>
      <c r="B13" s="44"/>
      <c r="C13" s="41" t="s">
        <v>98</v>
      </c>
    </row>
    <row r="14" spans="1:3" x14ac:dyDescent="0.25">
      <c r="A14" s="45" t="s">
        <v>99</v>
      </c>
      <c r="B14" s="45"/>
      <c r="C14" s="39"/>
    </row>
    <row r="15" spans="1:3" x14ac:dyDescent="0.25">
      <c r="A15" s="45" t="s">
        <v>100</v>
      </c>
      <c r="B15" s="45"/>
      <c r="C15" s="39"/>
    </row>
    <row r="16" spans="1:3" x14ac:dyDescent="0.25">
      <c r="A16" s="46"/>
      <c r="B16" s="46"/>
      <c r="C16" s="39"/>
    </row>
    <row r="17" spans="1:4" x14ac:dyDescent="0.25">
      <c r="A17" s="46"/>
      <c r="B17" s="46"/>
      <c r="C17" s="39"/>
    </row>
    <row r="18" spans="1:4" ht="15.75" thickBot="1" x14ac:dyDescent="0.3">
      <c r="A18" s="43"/>
      <c r="B18" s="43"/>
      <c r="C18" s="40"/>
    </row>
    <row r="19" spans="1:4" x14ac:dyDescent="0.25">
      <c r="A19" s="38"/>
      <c r="B19" s="36" t="s">
        <v>97</v>
      </c>
      <c r="C19" s="37">
        <f>SUM(C14:C18)</f>
        <v>0</v>
      </c>
    </row>
    <row r="20" spans="1:4" x14ac:dyDescent="0.25">
      <c r="A20" s="2"/>
      <c r="B20" s="2"/>
      <c r="C20" s="3"/>
    </row>
    <row r="21" spans="1:4" x14ac:dyDescent="0.25">
      <c r="A21" s="6" t="s">
        <v>10</v>
      </c>
      <c r="B21" s="2"/>
      <c r="C21" s="3"/>
    </row>
    <row r="22" spans="1:4" x14ac:dyDescent="0.25">
      <c r="A22" s="29" t="s">
        <v>14</v>
      </c>
      <c r="B22" s="29"/>
      <c r="C22" s="19">
        <v>500</v>
      </c>
    </row>
    <row r="23" spans="1:4" x14ac:dyDescent="0.25">
      <c r="A23" s="2" t="s">
        <v>11</v>
      </c>
      <c r="B23" s="7" t="s">
        <v>92</v>
      </c>
      <c r="C23" s="19">
        <v>7</v>
      </c>
    </row>
    <row r="24" spans="1:4" x14ac:dyDescent="0.25">
      <c r="A24" s="2" t="s">
        <v>12</v>
      </c>
      <c r="B24" s="7" t="s">
        <v>91</v>
      </c>
      <c r="C24" s="19">
        <v>250</v>
      </c>
    </row>
    <row r="25" spans="1:4" x14ac:dyDescent="0.25">
      <c r="A25" s="2"/>
      <c r="B25" s="2"/>
    </row>
    <row r="26" spans="1:4" x14ac:dyDescent="0.25">
      <c r="A26" s="6" t="s">
        <v>7</v>
      </c>
      <c r="B26" s="2"/>
    </row>
    <row r="27" spans="1:4" x14ac:dyDescent="0.25">
      <c r="A27" t="s">
        <v>87</v>
      </c>
      <c r="B27" s="2"/>
      <c r="C27" s="20">
        <v>0.05</v>
      </c>
    </row>
    <row r="28" spans="1:4" x14ac:dyDescent="0.25">
      <c r="A28" t="s">
        <v>86</v>
      </c>
      <c r="B28" s="8"/>
      <c r="C28" s="20">
        <v>0.5</v>
      </c>
    </row>
    <row r="29" spans="1:4" x14ac:dyDescent="0.25">
      <c r="A29" t="s">
        <v>88</v>
      </c>
      <c r="B29" s="8"/>
      <c r="C29" s="20">
        <v>0.8</v>
      </c>
    </row>
    <row r="30" spans="1:4" x14ac:dyDescent="0.25">
      <c r="A30" t="s">
        <v>89</v>
      </c>
      <c r="B30" s="18"/>
      <c r="C30" s="21">
        <v>0.1</v>
      </c>
    </row>
    <row r="31" spans="1:4" x14ac:dyDescent="0.25">
      <c r="B31" s="9"/>
      <c r="D31" s="4"/>
    </row>
    <row r="32" spans="1:4" x14ac:dyDescent="0.25">
      <c r="B32" s="9"/>
      <c r="D32" s="4"/>
    </row>
    <row r="33" spans="1:7" x14ac:dyDescent="0.25">
      <c r="B33" s="9"/>
      <c r="D33" s="4"/>
    </row>
    <row r="34" spans="1:7" x14ac:dyDescent="0.25">
      <c r="A34" s="11" t="s">
        <v>31</v>
      </c>
      <c r="B34" s="9"/>
      <c r="D34" s="4"/>
    </row>
    <row r="35" spans="1:7" x14ac:dyDescent="0.25">
      <c r="A35" s="9" t="s">
        <v>29</v>
      </c>
      <c r="B35" s="31">
        <f>C22*C23</f>
        <v>3500</v>
      </c>
      <c r="D35" s="4"/>
    </row>
    <row r="36" spans="1:7" x14ac:dyDescent="0.25">
      <c r="A36" s="9" t="s">
        <v>30</v>
      </c>
      <c r="B36" s="31">
        <f>B35/C24</f>
        <v>14</v>
      </c>
      <c r="G36" s="1"/>
    </row>
    <row r="37" spans="1:7" x14ac:dyDescent="0.25">
      <c r="A37" s="1" t="s">
        <v>15</v>
      </c>
      <c r="B37" s="31">
        <f>C27*B36</f>
        <v>0.70000000000000007</v>
      </c>
    </row>
    <row r="38" spans="1:7" x14ac:dyDescent="0.25">
      <c r="A38" s="1" t="s">
        <v>16</v>
      </c>
      <c r="B38" s="32">
        <f>(B36-B37)*(1-C28)</f>
        <v>6.65</v>
      </c>
    </row>
    <row r="39" spans="1:7" x14ac:dyDescent="0.25">
      <c r="A39" s="1" t="s">
        <v>17</v>
      </c>
      <c r="B39" s="32">
        <f>(B36-B37-B38)*(1-C29)</f>
        <v>1.3299999999999998</v>
      </c>
    </row>
    <row r="40" spans="1:7" x14ac:dyDescent="0.25">
      <c r="A40" s="1" t="s">
        <v>18</v>
      </c>
      <c r="B40" s="32">
        <f>B38+B39</f>
        <v>7.98</v>
      </c>
    </row>
    <row r="41" spans="1:7" x14ac:dyDescent="0.25">
      <c r="A41" s="1" t="s">
        <v>19</v>
      </c>
      <c r="B41" s="32">
        <f>B40-(B40*C30)</f>
        <v>7.1820000000000004</v>
      </c>
    </row>
    <row r="42" spans="1:7" x14ac:dyDescent="0.25">
      <c r="C42" s="1"/>
    </row>
    <row r="43" spans="1:7" x14ac:dyDescent="0.25">
      <c r="C43" s="1"/>
    </row>
    <row r="44" spans="1:7" x14ac:dyDescent="0.25">
      <c r="A44" s="11" t="s">
        <v>20</v>
      </c>
    </row>
    <row r="45" spans="1:7" hidden="1" x14ac:dyDescent="0.25">
      <c r="A45" s="9" t="s">
        <v>27</v>
      </c>
      <c r="B45" s="33">
        <f>C5*C6/43560</f>
        <v>3.6730945821854912</v>
      </c>
      <c r="C45" s="16"/>
    </row>
    <row r="46" spans="1:7" hidden="1" x14ac:dyDescent="0.25">
      <c r="A46" s="13" t="s">
        <v>25</v>
      </c>
      <c r="B46" s="33">
        <f>C5-2*(C9/C7)</f>
        <v>339.39393939393938</v>
      </c>
    </row>
    <row r="47" spans="1:7" hidden="1" x14ac:dyDescent="0.25">
      <c r="A47" s="13" t="s">
        <v>26</v>
      </c>
      <c r="B47" s="33">
        <f>C6-2*(C9/C7)</f>
        <v>339.39393939393938</v>
      </c>
    </row>
    <row r="48" spans="1:7" x14ac:dyDescent="0.25">
      <c r="A48" s="1" t="s">
        <v>2</v>
      </c>
      <c r="B48" s="33">
        <f>(C9*((C5*C6)+((C5+B46)*(C6+B47))+(B46*B47))/6/27)+C19</f>
        <v>50734.05208085342</v>
      </c>
      <c r="C48" s="1"/>
    </row>
    <row r="49" spans="1:3" hidden="1" x14ac:dyDescent="0.25">
      <c r="A49" s="9" t="s">
        <v>23</v>
      </c>
      <c r="B49" s="33">
        <f>C5-2*(C10/C7)</f>
        <v>309.09090909090912</v>
      </c>
      <c r="C49" s="9"/>
    </row>
    <row r="50" spans="1:3" hidden="1" x14ac:dyDescent="0.25">
      <c r="A50" s="9" t="s">
        <v>24</v>
      </c>
      <c r="B50" s="33">
        <f>C6-2*(C10/C7)</f>
        <v>309.09090909090912</v>
      </c>
      <c r="C50" s="9"/>
    </row>
    <row r="51" spans="1:3" x14ac:dyDescent="0.25">
      <c r="A51" s="1" t="s">
        <v>3</v>
      </c>
      <c r="B51" s="33">
        <f>C10*((C5*C6)+((C5+B49)*(C6+B50))+(B49*B50))/6/27</f>
        <v>70217.324762779317</v>
      </c>
      <c r="C51" s="1"/>
    </row>
    <row r="52" spans="1:3" x14ac:dyDescent="0.25">
      <c r="A52" s="1" t="s">
        <v>4</v>
      </c>
      <c r="B52" s="33">
        <f>B51-B48</f>
        <v>19483.272681925897</v>
      </c>
      <c r="C52" s="1"/>
    </row>
    <row r="53" spans="1:3" x14ac:dyDescent="0.25">
      <c r="A53" s="1" t="s">
        <v>5</v>
      </c>
      <c r="B53" s="33">
        <f>B51/B41/365</f>
        <v>26.78588585725322</v>
      </c>
      <c r="C53" s="1"/>
    </row>
    <row r="54" spans="1:3" x14ac:dyDescent="0.25">
      <c r="A54" s="1" t="s">
        <v>6</v>
      </c>
      <c r="B54" s="33">
        <f>B52/B41/365</f>
        <v>7.4323070545182954</v>
      </c>
      <c r="C54" s="1"/>
    </row>
  </sheetData>
  <mergeCells count="6">
    <mergeCell ref="A18:B18"/>
    <mergeCell ref="A13:B13"/>
    <mergeCell ref="A14:B14"/>
    <mergeCell ref="A15:B15"/>
    <mergeCell ref="A16:B16"/>
    <mergeCell ref="A17:B17"/>
  </mergeCells>
  <pageMargins left="0.7" right="0.7" top="0.75" bottom="0.75" header="0.3" footer="0.3"/>
  <pageSetup scale="9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92"/>
  <sheetViews>
    <sheetView workbookViewId="0">
      <selection activeCell="C46" sqref="C46"/>
    </sheetView>
  </sheetViews>
  <sheetFormatPr defaultRowHeight="15" x14ac:dyDescent="0.25"/>
  <cols>
    <col min="1" max="1" width="64.28515625" customWidth="1"/>
    <col min="2" max="2" width="20.140625" customWidth="1"/>
    <col min="3" max="3" width="17.140625" customWidth="1"/>
    <col min="4" max="4" width="27.42578125" customWidth="1"/>
    <col min="7" max="7" width="15.28515625" customWidth="1"/>
  </cols>
  <sheetData>
    <row r="1" spans="1:3" x14ac:dyDescent="0.25">
      <c r="A1" t="s">
        <v>55</v>
      </c>
    </row>
    <row r="3" spans="1:3" x14ac:dyDescent="0.25">
      <c r="A3" t="s">
        <v>63</v>
      </c>
    </row>
    <row r="5" spans="1:3" x14ac:dyDescent="0.25">
      <c r="A5" t="s">
        <v>64</v>
      </c>
      <c r="C5" s="19" t="s">
        <v>106</v>
      </c>
    </row>
    <row r="6" spans="1:3" x14ac:dyDescent="0.25">
      <c r="A6" t="s">
        <v>80</v>
      </c>
      <c r="C6" s="19" t="s">
        <v>105</v>
      </c>
    </row>
    <row r="9" spans="1:3" x14ac:dyDescent="0.25">
      <c r="A9" s="11" t="s">
        <v>56</v>
      </c>
    </row>
    <row r="11" spans="1:3" x14ac:dyDescent="0.25">
      <c r="A11" t="s">
        <v>57</v>
      </c>
      <c r="C11" s="19">
        <v>360</v>
      </c>
    </row>
    <row r="12" spans="1:3" x14ac:dyDescent="0.25">
      <c r="A12" t="s">
        <v>58</v>
      </c>
      <c r="C12" s="19">
        <v>360</v>
      </c>
    </row>
    <row r="13" spans="1:3" x14ac:dyDescent="0.25">
      <c r="A13" t="s">
        <v>60</v>
      </c>
      <c r="C13" s="19">
        <v>7</v>
      </c>
    </row>
    <row r="14" spans="1:3" x14ac:dyDescent="0.25">
      <c r="A14" t="s">
        <v>94</v>
      </c>
      <c r="C14" s="19">
        <v>2</v>
      </c>
    </row>
    <row r="15" spans="1:3" x14ac:dyDescent="0.25">
      <c r="A15" s="27" t="s">
        <v>1</v>
      </c>
      <c r="B15" s="5"/>
      <c r="C15" s="19">
        <v>7</v>
      </c>
    </row>
    <row r="17" spans="1:3" ht="45" x14ac:dyDescent="0.25">
      <c r="A17" s="27" t="s">
        <v>59</v>
      </c>
      <c r="B17" s="12" t="s">
        <v>22</v>
      </c>
      <c r="C17" s="20">
        <v>0.5</v>
      </c>
    </row>
    <row r="18" spans="1:3" ht="60.75" customHeight="1" x14ac:dyDescent="0.25">
      <c r="A18" s="29" t="s">
        <v>108</v>
      </c>
      <c r="B18" s="12" t="s">
        <v>22</v>
      </c>
      <c r="C18" s="20">
        <v>0.5</v>
      </c>
    </row>
    <row r="19" spans="1:3" x14ac:dyDescent="0.25">
      <c r="A19" s="27"/>
      <c r="B19" s="5"/>
      <c r="C19" s="24"/>
    </row>
    <row r="20" spans="1:3" x14ac:dyDescent="0.25">
      <c r="A20" s="6" t="s">
        <v>65</v>
      </c>
      <c r="B20" s="5"/>
      <c r="C20" s="24"/>
    </row>
    <row r="21" spans="1:3" x14ac:dyDescent="0.25">
      <c r="A21" s="27"/>
      <c r="B21" s="5"/>
      <c r="C21" s="24"/>
    </row>
    <row r="22" spans="1:3" x14ac:dyDescent="0.25">
      <c r="A22" s="27" t="s">
        <v>62</v>
      </c>
      <c r="B22" s="5"/>
      <c r="C22" s="19">
        <v>0</v>
      </c>
    </row>
    <row r="23" spans="1:3" x14ac:dyDescent="0.25">
      <c r="A23" s="28" t="s">
        <v>66</v>
      </c>
      <c r="B23" s="5"/>
      <c r="C23" s="19">
        <v>0</v>
      </c>
    </row>
    <row r="24" spans="1:3" x14ac:dyDescent="0.25">
      <c r="A24" s="29"/>
      <c r="B24" s="5"/>
      <c r="C24" s="19"/>
    </row>
    <row r="25" spans="1:3" ht="45" x14ac:dyDescent="0.25">
      <c r="A25" s="27" t="s">
        <v>61</v>
      </c>
      <c r="B25" s="12" t="s">
        <v>22</v>
      </c>
      <c r="C25" s="20">
        <v>0.33</v>
      </c>
    </row>
    <row r="26" spans="1:3" x14ac:dyDescent="0.25">
      <c r="A26" s="27"/>
      <c r="B26" s="5"/>
      <c r="C26" s="24"/>
    </row>
    <row r="27" spans="1:3" x14ac:dyDescent="0.25">
      <c r="A27" s="6" t="s">
        <v>95</v>
      </c>
      <c r="B27" s="5"/>
      <c r="C27" s="24"/>
    </row>
    <row r="28" spans="1:3" x14ac:dyDescent="0.25">
      <c r="A28" s="44" t="s">
        <v>96</v>
      </c>
      <c r="B28" s="44"/>
      <c r="C28" s="41" t="s">
        <v>98</v>
      </c>
    </row>
    <row r="29" spans="1:3" x14ac:dyDescent="0.25">
      <c r="A29" s="45" t="s">
        <v>99</v>
      </c>
      <c r="B29" s="45"/>
      <c r="C29" s="39"/>
    </row>
    <row r="30" spans="1:3" x14ac:dyDescent="0.25">
      <c r="A30" s="45" t="s">
        <v>100</v>
      </c>
      <c r="B30" s="45"/>
      <c r="C30" s="39"/>
    </row>
    <row r="31" spans="1:3" x14ac:dyDescent="0.25">
      <c r="A31" s="46"/>
      <c r="B31" s="46"/>
      <c r="C31" s="39"/>
    </row>
    <row r="32" spans="1:3" x14ac:dyDescent="0.25">
      <c r="A32" s="46"/>
      <c r="B32" s="46"/>
      <c r="C32" s="39"/>
    </row>
    <row r="33" spans="1:4" ht="15.75" thickBot="1" x14ac:dyDescent="0.3">
      <c r="A33" s="43"/>
      <c r="B33" s="43"/>
      <c r="C33" s="40"/>
    </row>
    <row r="34" spans="1:4" x14ac:dyDescent="0.25">
      <c r="A34" s="38"/>
      <c r="B34" s="36" t="s">
        <v>97</v>
      </c>
      <c r="C34" s="37">
        <f>SUM(C29:C33)</f>
        <v>0</v>
      </c>
    </row>
    <row r="35" spans="1:4" x14ac:dyDescent="0.25">
      <c r="A35" s="27"/>
      <c r="B35" s="27"/>
      <c r="C35" s="3"/>
    </row>
    <row r="36" spans="1:4" x14ac:dyDescent="0.25">
      <c r="A36" s="6" t="s">
        <v>10</v>
      </c>
      <c r="B36" s="27"/>
      <c r="C36" s="3"/>
    </row>
    <row r="37" spans="1:4" x14ac:dyDescent="0.25">
      <c r="A37" s="29" t="s">
        <v>14</v>
      </c>
      <c r="B37" s="29"/>
      <c r="C37" s="19">
        <v>350</v>
      </c>
    </row>
    <row r="38" spans="1:4" x14ac:dyDescent="0.25">
      <c r="A38" s="27" t="s">
        <v>11</v>
      </c>
      <c r="B38" s="7" t="s">
        <v>90</v>
      </c>
      <c r="C38" s="19">
        <v>7</v>
      </c>
    </row>
    <row r="39" spans="1:4" x14ac:dyDescent="0.25">
      <c r="A39" s="27" t="s">
        <v>12</v>
      </c>
      <c r="B39" s="7" t="s">
        <v>91</v>
      </c>
      <c r="C39" s="19">
        <v>250</v>
      </c>
    </row>
    <row r="40" spans="1:4" x14ac:dyDescent="0.25">
      <c r="A40" s="27"/>
      <c r="B40" s="27"/>
    </row>
    <row r="41" spans="1:4" x14ac:dyDescent="0.25">
      <c r="A41" s="6" t="s">
        <v>7</v>
      </c>
      <c r="B41" s="27"/>
    </row>
    <row r="42" spans="1:4" x14ac:dyDescent="0.25">
      <c r="A42" t="s">
        <v>87</v>
      </c>
      <c r="B42" s="27"/>
      <c r="C42" s="20">
        <v>0</v>
      </c>
    </row>
    <row r="43" spans="1:4" x14ac:dyDescent="0.25">
      <c r="A43" t="s">
        <v>86</v>
      </c>
      <c r="B43" s="8"/>
      <c r="C43" s="20">
        <v>0</v>
      </c>
    </row>
    <row r="44" spans="1:4" x14ac:dyDescent="0.25">
      <c r="A44" t="s">
        <v>88</v>
      </c>
      <c r="B44" s="8"/>
      <c r="C44" s="20">
        <v>0.5</v>
      </c>
    </row>
    <row r="45" spans="1:4" x14ac:dyDescent="0.25">
      <c r="A45" t="s">
        <v>89</v>
      </c>
      <c r="B45" s="18"/>
      <c r="C45" s="21">
        <v>0</v>
      </c>
    </row>
    <row r="46" spans="1:4" x14ac:dyDescent="0.25">
      <c r="B46" s="9"/>
      <c r="C46" s="9"/>
      <c r="D46" s="27"/>
    </row>
    <row r="47" spans="1:4" x14ac:dyDescent="0.25">
      <c r="B47" s="9"/>
      <c r="C47" s="9"/>
      <c r="D47" s="27"/>
    </row>
    <row r="48" spans="1:4" x14ac:dyDescent="0.25">
      <c r="B48" s="9"/>
      <c r="C48" s="9"/>
      <c r="D48" s="27"/>
    </row>
    <row r="49" spans="1:7" x14ac:dyDescent="0.25">
      <c r="A49" s="11" t="s">
        <v>31</v>
      </c>
      <c r="B49" s="9"/>
      <c r="C49" s="9"/>
      <c r="D49" s="27"/>
    </row>
    <row r="50" spans="1:7" x14ac:dyDescent="0.25">
      <c r="A50" s="9" t="s">
        <v>29</v>
      </c>
      <c r="B50" s="31">
        <f>C37*C38</f>
        <v>2450</v>
      </c>
      <c r="C50" s="27"/>
      <c r="D50" s="27"/>
    </row>
    <row r="51" spans="1:7" x14ac:dyDescent="0.25">
      <c r="A51" s="9" t="s">
        <v>30</v>
      </c>
      <c r="B51" s="31">
        <f>B50/C39</f>
        <v>9.8000000000000007</v>
      </c>
      <c r="G51" s="9"/>
    </row>
    <row r="52" spans="1:7" x14ac:dyDescent="0.25">
      <c r="A52" s="9" t="s">
        <v>15</v>
      </c>
      <c r="B52" s="31">
        <f>C42*B51</f>
        <v>0</v>
      </c>
    </row>
    <row r="53" spans="1:7" x14ac:dyDescent="0.25">
      <c r="A53" s="9" t="s">
        <v>16</v>
      </c>
      <c r="B53" s="32">
        <f>(B51-B52)*(1-C43)</f>
        <v>9.8000000000000007</v>
      </c>
    </row>
    <row r="54" spans="1:7" x14ac:dyDescent="0.25">
      <c r="A54" s="9" t="s">
        <v>17</v>
      </c>
      <c r="B54" s="32">
        <f>(B51-B52-B53)*(1-C44)</f>
        <v>0</v>
      </c>
    </row>
    <row r="55" spans="1:7" x14ac:dyDescent="0.25">
      <c r="A55" s="9" t="s">
        <v>18</v>
      </c>
      <c r="B55" s="32">
        <f>B53+B54</f>
        <v>9.8000000000000007</v>
      </c>
    </row>
    <row r="56" spans="1:7" x14ac:dyDescent="0.25">
      <c r="A56" s="9" t="s">
        <v>19</v>
      </c>
      <c r="B56" s="32">
        <f>B55-(B55*C45)</f>
        <v>9.8000000000000007</v>
      </c>
    </row>
    <row r="59" spans="1:7" x14ac:dyDescent="0.25">
      <c r="A59" s="11" t="s">
        <v>20</v>
      </c>
    </row>
    <row r="60" spans="1:7" x14ac:dyDescent="0.25">
      <c r="A60" s="11" t="s">
        <v>75</v>
      </c>
    </row>
    <row r="61" spans="1:7" x14ac:dyDescent="0.25">
      <c r="A61" s="9" t="s">
        <v>67</v>
      </c>
      <c r="B61" s="17">
        <f>C11*C12/43560</f>
        <v>2.9752066115702478</v>
      </c>
      <c r="C61" s="16"/>
    </row>
    <row r="62" spans="1:7" x14ac:dyDescent="0.25">
      <c r="A62" s="9" t="s">
        <v>107</v>
      </c>
      <c r="B62" s="17">
        <f>((C11+2*(C13/C17)+2*(C13/C18)+(2*C14))*(C12+2*(C13/C17)+2*(C13/C18)+(2*C14)))/43560</f>
        <v>4.0495867768595044</v>
      </c>
      <c r="C62" s="16"/>
    </row>
    <row r="63" spans="1:7" hidden="1" x14ac:dyDescent="0.25">
      <c r="A63" s="13" t="s">
        <v>68</v>
      </c>
      <c r="B63" s="15">
        <f>C11+2*(C15/C17)</f>
        <v>388</v>
      </c>
      <c r="C63" s="16"/>
    </row>
    <row r="64" spans="1:7" hidden="1" x14ac:dyDescent="0.25">
      <c r="A64" s="13" t="s">
        <v>69</v>
      </c>
      <c r="B64" s="15">
        <f>C12+2*(C15/C17)</f>
        <v>388</v>
      </c>
      <c r="C64" s="16"/>
    </row>
    <row r="65" spans="1:4" hidden="1" x14ac:dyDescent="0.25">
      <c r="A65" s="9" t="s">
        <v>70</v>
      </c>
      <c r="B65" s="15">
        <f>C11+2*(C13/C17)</f>
        <v>388</v>
      </c>
      <c r="C65" s="16"/>
    </row>
    <row r="66" spans="1:4" hidden="1" x14ac:dyDescent="0.25">
      <c r="A66" s="9" t="s">
        <v>71</v>
      </c>
      <c r="B66" s="15">
        <f>C12+2*(C13/C17)</f>
        <v>388</v>
      </c>
    </row>
    <row r="67" spans="1:4" ht="15" customHeight="1" x14ac:dyDescent="0.25">
      <c r="A67" s="9" t="s">
        <v>2</v>
      </c>
      <c r="B67" s="33">
        <f>(C15*((C11*C12)+((C11+B63)*(C12+B64))+(B63*B64))/6/27)+C34</f>
        <v>36281.08641975309</v>
      </c>
      <c r="C67" s="47" t="str">
        <f>IF(B68&lt;B67, "Calculated Current Volume Exceeds Capacity - Vertical Expansion Necessary", "")</f>
        <v/>
      </c>
      <c r="D67" s="47"/>
    </row>
    <row r="68" spans="1:4" x14ac:dyDescent="0.25">
      <c r="A68" s="9" t="s">
        <v>72</v>
      </c>
      <c r="B68" s="33">
        <f>C13*((C11*C12)+((C11+B65)*(C12+B66))+(B65*B66))/6/27</f>
        <v>36281.08641975309</v>
      </c>
      <c r="C68" s="47"/>
      <c r="D68" s="47"/>
    </row>
    <row r="69" spans="1:4" x14ac:dyDescent="0.25">
      <c r="A69" s="9" t="s">
        <v>4</v>
      </c>
      <c r="B69" s="33">
        <f>IF(B67&lt;B68, B68-B67, 0)</f>
        <v>0</v>
      </c>
    </row>
    <row r="70" spans="1:4" x14ac:dyDescent="0.25">
      <c r="A70" s="9" t="s">
        <v>73</v>
      </c>
      <c r="B70" s="33">
        <f>B68/B56/365</f>
        <v>10.142881302698655</v>
      </c>
    </row>
    <row r="71" spans="1:4" x14ac:dyDescent="0.25">
      <c r="A71" s="9" t="s">
        <v>74</v>
      </c>
      <c r="B71" s="33">
        <f>IF(B68&gt;B67,B69/B56/365, 0)</f>
        <v>0</v>
      </c>
    </row>
    <row r="72" spans="1:4" x14ac:dyDescent="0.25">
      <c r="A72" s="9"/>
      <c r="B72" s="15"/>
    </row>
    <row r="73" spans="1:4" x14ac:dyDescent="0.25">
      <c r="A73" s="11" t="s">
        <v>79</v>
      </c>
    </row>
    <row r="74" spans="1:4" x14ac:dyDescent="0.25">
      <c r="A74" s="9" t="s">
        <v>76</v>
      </c>
      <c r="B74" s="14" t="str">
        <f>IF(C6 = "N", "Vertical Expansion not planned", B75*B76/43560)</f>
        <v>Vertical Expansion not planned</v>
      </c>
    </row>
    <row r="75" spans="1:4" hidden="1" x14ac:dyDescent="0.25">
      <c r="A75" s="9" t="s">
        <v>77</v>
      </c>
      <c r="B75" s="15" t="str">
        <f>IF(C6 = "N", "", B65)</f>
        <v/>
      </c>
    </row>
    <row r="76" spans="1:4" hidden="1" x14ac:dyDescent="0.25">
      <c r="A76" s="9" t="s">
        <v>78</v>
      </c>
      <c r="B76" s="15" t="str">
        <f>IF(C6 = "N", "", B66)</f>
        <v/>
      </c>
    </row>
    <row r="77" spans="1:4" hidden="1" x14ac:dyDescent="0.25">
      <c r="A77" s="13" t="s">
        <v>68</v>
      </c>
      <c r="B77" s="15" t="str">
        <f>IF(B74="Vertical Expansion not planned", "", IF(C5="Y", "Not in operation", B75-2*(C23/C25)))</f>
        <v/>
      </c>
    </row>
    <row r="78" spans="1:4" hidden="1" x14ac:dyDescent="0.25">
      <c r="A78" s="13" t="s">
        <v>69</v>
      </c>
      <c r="B78" s="15" t="str">
        <f>IF(B74="Vertical Expansion not planned", "", IF(C5="Y", "Not in operation", B76-2*(C23/C25)))</f>
        <v/>
      </c>
    </row>
    <row r="79" spans="1:4" hidden="1" x14ac:dyDescent="0.25">
      <c r="A79" s="9" t="s">
        <v>70</v>
      </c>
      <c r="B79" s="15" t="str">
        <f>IF(B74="Vertical Expansion not planned","",B75-2*(C22/C25))</f>
        <v/>
      </c>
    </row>
    <row r="80" spans="1:4" hidden="1" x14ac:dyDescent="0.25">
      <c r="A80" s="9" t="s">
        <v>71</v>
      </c>
      <c r="B80" s="15" t="str">
        <f>IF(B74="Vertical Expansion not planned","", B76-2*(C22/C25))</f>
        <v/>
      </c>
    </row>
    <row r="81" spans="1:2" x14ac:dyDescent="0.25">
      <c r="A81" s="9" t="s">
        <v>2</v>
      </c>
      <c r="B81" s="33" t="str">
        <f>IF(B74="Vertical Expansion not planned","",IF(C5="Y","Not in operation", (C23*((B75*B76)+((B75+B77)*(B76+B78))+(B77*B78))/6/27)+C34))</f>
        <v/>
      </c>
    </row>
    <row r="82" spans="1:2" x14ac:dyDescent="0.25">
      <c r="A82" s="9" t="s">
        <v>72</v>
      </c>
      <c r="B82" s="33" t="str">
        <f>IF(B74="Vertical Expansion not planned", "", C22*((B75*B76)+((B75+B79)*(B76+B80))+(B79*B80))/6/27)</f>
        <v/>
      </c>
    </row>
    <row r="83" spans="1:2" x14ac:dyDescent="0.25">
      <c r="A83" s="9" t="s">
        <v>4</v>
      </c>
      <c r="B83" s="33" t="str">
        <f>IF(B74="Vertical Expansion not planned", "", IF(C5="Y", B82, B82-B81))</f>
        <v/>
      </c>
    </row>
    <row r="84" spans="1:2" x14ac:dyDescent="0.25">
      <c r="A84" s="9" t="s">
        <v>73</v>
      </c>
      <c r="B84" s="33" t="str">
        <f>IF(B74="Vertical Expansion not planned", "", B82/B56/365)</f>
        <v/>
      </c>
    </row>
    <row r="85" spans="1:2" x14ac:dyDescent="0.25">
      <c r="A85" s="9" t="s">
        <v>85</v>
      </c>
      <c r="B85" s="33" t="str">
        <f>IF(B74="Vertical Expansion not planned", "", IF(C5="Y",B84,B83/B56/365))</f>
        <v/>
      </c>
    </row>
    <row r="88" spans="1:2" x14ac:dyDescent="0.25">
      <c r="A88" s="30" t="s">
        <v>81</v>
      </c>
    </row>
    <row r="89" spans="1:2" x14ac:dyDescent="0.25">
      <c r="A89" s="9" t="s">
        <v>82</v>
      </c>
      <c r="B89" s="33">
        <f>IF(C6="Y", B68+B82, B68)</f>
        <v>36281.08641975309</v>
      </c>
    </row>
    <row r="90" spans="1:2" x14ac:dyDescent="0.25">
      <c r="A90" s="9" t="s">
        <v>4</v>
      </c>
      <c r="B90" s="33">
        <f>IF(C6="Y",B69+B83,B69)</f>
        <v>0</v>
      </c>
    </row>
    <row r="91" spans="1:2" x14ac:dyDescent="0.25">
      <c r="A91" s="9" t="s">
        <v>83</v>
      </c>
      <c r="B91" s="33">
        <f>IF(C6="Y", B70+B84, B70)</f>
        <v>10.142881302698655</v>
      </c>
    </row>
    <row r="92" spans="1:2" x14ac:dyDescent="0.25">
      <c r="A92" s="9" t="s">
        <v>84</v>
      </c>
      <c r="B92" s="33">
        <f>IF(C6="Y",B71+B85,B71)</f>
        <v>0</v>
      </c>
    </row>
  </sheetData>
  <mergeCells count="7">
    <mergeCell ref="C67:D68"/>
    <mergeCell ref="A33:B33"/>
    <mergeCell ref="A28:B28"/>
    <mergeCell ref="A29:B29"/>
    <mergeCell ref="A30:B30"/>
    <mergeCell ref="A31:B31"/>
    <mergeCell ref="A32:B32"/>
  </mergeCells>
  <pageMargins left="0.7" right="0.7" top="0.75" bottom="0.75" header="0.3" footer="0.3"/>
  <pageSetup scale="91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2"/>
  <sheetViews>
    <sheetView tabSelected="1" zoomScale="130" zoomScaleNormal="130" workbookViewId="0">
      <selection activeCell="A27" sqref="A27"/>
    </sheetView>
  </sheetViews>
  <sheetFormatPr defaultRowHeight="15" x14ac:dyDescent="0.25"/>
  <cols>
    <col min="1" max="1" width="79.42578125" customWidth="1"/>
    <col min="2" max="2" width="20.140625" customWidth="1"/>
    <col min="3" max="3" width="13.42578125" customWidth="1"/>
    <col min="4" max="4" width="12.7109375" customWidth="1"/>
    <col min="5" max="5" width="27.42578125" customWidth="1"/>
    <col min="8" max="8" width="15.28515625" customWidth="1"/>
  </cols>
  <sheetData>
    <row r="1" spans="1:3" x14ac:dyDescent="0.25">
      <c r="A1" t="s">
        <v>48</v>
      </c>
    </row>
    <row r="3" spans="1:3" x14ac:dyDescent="0.25">
      <c r="A3" t="s">
        <v>49</v>
      </c>
    </row>
    <row r="5" spans="1:3" x14ac:dyDescent="0.25">
      <c r="A5" t="s">
        <v>9</v>
      </c>
      <c r="C5" s="19">
        <v>330</v>
      </c>
    </row>
    <row r="6" spans="1:3" x14ac:dyDescent="0.25">
      <c r="A6" t="s">
        <v>8</v>
      </c>
      <c r="C6" s="19">
        <v>200</v>
      </c>
    </row>
    <row r="7" spans="1:3" x14ac:dyDescent="0.25">
      <c r="C7" s="24"/>
    </row>
    <row r="8" spans="1:3" x14ac:dyDescent="0.25">
      <c r="C8" s="24"/>
    </row>
    <row r="9" spans="1:3" x14ac:dyDescent="0.25">
      <c r="A9" t="s">
        <v>32</v>
      </c>
      <c r="C9" s="24"/>
    </row>
    <row r="10" spans="1:3" x14ac:dyDescent="0.25">
      <c r="C10" s="24"/>
    </row>
    <row r="11" spans="1:3" x14ac:dyDescent="0.25">
      <c r="A11" t="s">
        <v>50</v>
      </c>
      <c r="C11" s="19">
        <v>300</v>
      </c>
    </row>
    <row r="12" spans="1:3" x14ac:dyDescent="0.25">
      <c r="A12" t="s">
        <v>51</v>
      </c>
      <c r="C12" s="19">
        <v>25</v>
      </c>
    </row>
    <row r="13" spans="1:3" x14ac:dyDescent="0.25">
      <c r="A13" t="s">
        <v>52</v>
      </c>
      <c r="C13" s="19">
        <v>10</v>
      </c>
    </row>
    <row r="14" spans="1:3" x14ac:dyDescent="0.25">
      <c r="A14" t="s">
        <v>33</v>
      </c>
      <c r="C14" s="19">
        <v>0.5</v>
      </c>
    </row>
    <row r="15" spans="1:3" x14ac:dyDescent="0.25">
      <c r="A15" t="s">
        <v>34</v>
      </c>
      <c r="C15" s="19">
        <v>0.5</v>
      </c>
    </row>
    <row r="16" spans="1:3" x14ac:dyDescent="0.25">
      <c r="C16" s="24"/>
    </row>
    <row r="17" spans="1:5" x14ac:dyDescent="0.25">
      <c r="A17" t="s">
        <v>53</v>
      </c>
      <c r="C17" s="34" t="s">
        <v>46</v>
      </c>
    </row>
    <row r="18" spans="1:5" x14ac:dyDescent="0.25">
      <c r="C18" s="24"/>
    </row>
    <row r="19" spans="1:5" x14ac:dyDescent="0.25">
      <c r="A19" t="s">
        <v>39</v>
      </c>
      <c r="C19" s="23">
        <f>ROUNDDOWN((C5-C14)/(C11+C14),0)*ROUNDDOWN((C6-C15)/(C12+C15),0)</f>
        <v>7</v>
      </c>
    </row>
    <row r="20" spans="1:5" x14ac:dyDescent="0.25">
      <c r="C20" s="24"/>
    </row>
    <row r="21" spans="1:5" x14ac:dyDescent="0.25">
      <c r="A21" t="s">
        <v>103</v>
      </c>
      <c r="B21" t="s">
        <v>104</v>
      </c>
      <c r="C21" s="19">
        <v>2</v>
      </c>
    </row>
    <row r="22" spans="1:5" x14ac:dyDescent="0.25">
      <c r="C22" s="24"/>
    </row>
    <row r="23" spans="1:5" x14ac:dyDescent="0.25">
      <c r="A23" t="s">
        <v>35</v>
      </c>
      <c r="C23" s="48">
        <v>1</v>
      </c>
    </row>
    <row r="24" spans="1:5" x14ac:dyDescent="0.25">
      <c r="A24" t="s">
        <v>40</v>
      </c>
      <c r="B24" s="49" t="s">
        <v>36</v>
      </c>
      <c r="C24" s="48"/>
    </row>
    <row r="25" spans="1:5" x14ac:dyDescent="0.25">
      <c r="A25" t="s">
        <v>41</v>
      </c>
      <c r="B25" s="49"/>
      <c r="C25" s="48"/>
    </row>
    <row r="26" spans="1:5" x14ac:dyDescent="0.25">
      <c r="A26" s="8" t="s">
        <v>101</v>
      </c>
      <c r="B26" s="49"/>
      <c r="C26" s="48"/>
    </row>
    <row r="27" spans="1:5" x14ac:dyDescent="0.25">
      <c r="A27" s="8"/>
      <c r="C27" s="24"/>
    </row>
    <row r="28" spans="1:5" x14ac:dyDescent="0.25">
      <c r="A28" s="8" t="s">
        <v>37</v>
      </c>
      <c r="C28" s="24"/>
    </row>
    <row r="29" spans="1:5" x14ac:dyDescent="0.25">
      <c r="A29" s="8" t="s">
        <v>47</v>
      </c>
      <c r="C29" s="19">
        <v>1</v>
      </c>
    </row>
    <row r="30" spans="1:5" x14ac:dyDescent="0.25">
      <c r="A30" t="s">
        <v>42</v>
      </c>
      <c r="C30" s="25">
        <v>0</v>
      </c>
    </row>
    <row r="31" spans="1:5" x14ac:dyDescent="0.25">
      <c r="A31" s="22"/>
      <c r="B31" s="22"/>
      <c r="C31" s="22"/>
      <c r="D31" s="22"/>
      <c r="E31" s="3"/>
    </row>
    <row r="32" spans="1:5" x14ac:dyDescent="0.25">
      <c r="A32" s="6" t="s">
        <v>10</v>
      </c>
      <c r="B32" s="22"/>
      <c r="C32" s="22"/>
      <c r="D32" s="22"/>
      <c r="E32" s="3"/>
    </row>
    <row r="33" spans="1:3" x14ac:dyDescent="0.25">
      <c r="A33" s="29" t="s">
        <v>14</v>
      </c>
      <c r="B33" s="29"/>
      <c r="C33" s="19">
        <v>203</v>
      </c>
    </row>
    <row r="34" spans="1:3" x14ac:dyDescent="0.25">
      <c r="A34" s="22" t="s">
        <v>11</v>
      </c>
      <c r="B34" s="7" t="s">
        <v>38</v>
      </c>
      <c r="C34" s="19">
        <v>7</v>
      </c>
    </row>
    <row r="35" spans="1:3" x14ac:dyDescent="0.25">
      <c r="A35" s="22" t="s">
        <v>12</v>
      </c>
      <c r="B35" s="7" t="s">
        <v>13</v>
      </c>
      <c r="C35" s="19">
        <v>250</v>
      </c>
    </row>
    <row r="36" spans="1:3" x14ac:dyDescent="0.25">
      <c r="A36" s="29"/>
      <c r="B36" s="7"/>
      <c r="C36" s="24"/>
    </row>
    <row r="37" spans="1:3" x14ac:dyDescent="0.25">
      <c r="A37" s="6" t="s">
        <v>95</v>
      </c>
      <c r="B37" s="5"/>
      <c r="C37" s="24"/>
    </row>
    <row r="38" spans="1:3" x14ac:dyDescent="0.25">
      <c r="A38" s="44" t="s">
        <v>96</v>
      </c>
      <c r="B38" s="44"/>
      <c r="C38" s="41" t="s">
        <v>98</v>
      </c>
    </row>
    <row r="39" spans="1:3" x14ac:dyDescent="0.25">
      <c r="A39" s="45" t="s">
        <v>99</v>
      </c>
      <c r="B39" s="45"/>
      <c r="C39" s="39"/>
    </row>
    <row r="40" spans="1:3" x14ac:dyDescent="0.25">
      <c r="A40" s="45" t="s">
        <v>100</v>
      </c>
      <c r="B40" s="45"/>
      <c r="C40" s="39">
        <v>2000</v>
      </c>
    </row>
    <row r="41" spans="1:3" x14ac:dyDescent="0.25">
      <c r="A41" s="46"/>
      <c r="B41" s="46"/>
      <c r="C41" s="39"/>
    </row>
    <row r="42" spans="1:3" x14ac:dyDescent="0.25">
      <c r="A42" s="46"/>
      <c r="B42" s="46"/>
      <c r="C42" s="39"/>
    </row>
    <row r="43" spans="1:3" ht="15.75" thickBot="1" x14ac:dyDescent="0.3">
      <c r="A43" s="43"/>
      <c r="B43" s="43"/>
      <c r="C43" s="40"/>
    </row>
    <row r="44" spans="1:3" x14ac:dyDescent="0.25">
      <c r="A44" s="38"/>
      <c r="B44" s="36" t="s">
        <v>97</v>
      </c>
      <c r="C44" s="37">
        <f>SUM(C39:C43)</f>
        <v>2000</v>
      </c>
    </row>
    <row r="45" spans="1:3" x14ac:dyDescent="0.25">
      <c r="A45" s="22"/>
      <c r="B45" s="22"/>
    </row>
    <row r="46" spans="1:3" x14ac:dyDescent="0.25">
      <c r="A46" s="6" t="s">
        <v>7</v>
      </c>
      <c r="B46" s="22"/>
    </row>
    <row r="47" spans="1:3" x14ac:dyDescent="0.25">
      <c r="A47" t="s">
        <v>87</v>
      </c>
      <c r="B47" s="22"/>
      <c r="C47" s="20">
        <v>0.05</v>
      </c>
    </row>
    <row r="48" spans="1:3" x14ac:dyDescent="0.25">
      <c r="A48" t="s">
        <v>86</v>
      </c>
      <c r="C48" s="20">
        <v>0.5</v>
      </c>
    </row>
    <row r="49" spans="1:8" x14ac:dyDescent="0.25">
      <c r="A49" t="s">
        <v>88</v>
      </c>
      <c r="C49" s="20">
        <v>0.8</v>
      </c>
    </row>
    <row r="50" spans="1:8" x14ac:dyDescent="0.25">
      <c r="A50" t="s">
        <v>93</v>
      </c>
      <c r="B50" s="10"/>
      <c r="C50" s="21">
        <v>0.1</v>
      </c>
    </row>
    <row r="51" spans="1:8" x14ac:dyDescent="0.25">
      <c r="B51" s="9"/>
      <c r="C51" s="22"/>
    </row>
    <row r="52" spans="1:8" x14ac:dyDescent="0.25">
      <c r="B52" s="9"/>
      <c r="C52" s="9"/>
      <c r="E52" s="22"/>
    </row>
    <row r="53" spans="1:8" x14ac:dyDescent="0.25">
      <c r="B53" s="9"/>
      <c r="C53" s="9"/>
      <c r="E53" s="22"/>
    </row>
    <row r="54" spans="1:8" x14ac:dyDescent="0.25">
      <c r="A54" s="11" t="s">
        <v>31</v>
      </c>
      <c r="B54" s="9"/>
      <c r="C54" s="9"/>
      <c r="E54" s="22"/>
    </row>
    <row r="55" spans="1:8" x14ac:dyDescent="0.25">
      <c r="A55" s="9" t="s">
        <v>29</v>
      </c>
      <c r="B55" s="31">
        <f>C33*C34</f>
        <v>1421</v>
      </c>
      <c r="C55" s="22"/>
      <c r="E55" s="22"/>
    </row>
    <row r="56" spans="1:8" x14ac:dyDescent="0.25">
      <c r="A56" s="9" t="s">
        <v>30</v>
      </c>
      <c r="B56" s="31">
        <f>B55/C35</f>
        <v>5.6840000000000002</v>
      </c>
      <c r="H56" s="9"/>
    </row>
    <row r="57" spans="1:8" x14ac:dyDescent="0.25">
      <c r="A57" s="9" t="s">
        <v>15</v>
      </c>
      <c r="B57" s="31">
        <f>C47*B56</f>
        <v>0.28420000000000001</v>
      </c>
    </row>
    <row r="58" spans="1:8" x14ac:dyDescent="0.25">
      <c r="A58" s="9" t="s">
        <v>16</v>
      </c>
      <c r="B58" s="32">
        <f>(B56-B57)*(1-C48)</f>
        <v>2.6999</v>
      </c>
    </row>
    <row r="59" spans="1:8" x14ac:dyDescent="0.25">
      <c r="A59" s="9" t="s">
        <v>17</v>
      </c>
      <c r="B59" s="32">
        <f>(B56-B57-B58)*(1-C49)</f>
        <v>0.5399799999999999</v>
      </c>
    </row>
    <row r="60" spans="1:8" x14ac:dyDescent="0.25">
      <c r="A60" s="9" t="s">
        <v>18</v>
      </c>
      <c r="B60" s="32">
        <f>B58+B59</f>
        <v>3.2398799999999999</v>
      </c>
    </row>
    <row r="61" spans="1:8" x14ac:dyDescent="0.25">
      <c r="A61" s="9" t="s">
        <v>19</v>
      </c>
      <c r="B61" s="32">
        <f>B60-(B60*C50)</f>
        <v>2.9158919999999999</v>
      </c>
    </row>
    <row r="62" spans="1:8" x14ac:dyDescent="0.25">
      <c r="D62" s="9"/>
    </row>
    <row r="63" spans="1:8" x14ac:dyDescent="0.25">
      <c r="D63" s="9"/>
    </row>
    <row r="64" spans="1:8" x14ac:dyDescent="0.25">
      <c r="A64" s="11" t="s">
        <v>20</v>
      </c>
    </row>
    <row r="65" spans="1:5" x14ac:dyDescent="0.25">
      <c r="A65" s="13" t="s">
        <v>102</v>
      </c>
      <c r="B65" s="42">
        <f>C13-C21</f>
        <v>8</v>
      </c>
    </row>
    <row r="66" spans="1:5" x14ac:dyDescent="0.25">
      <c r="A66" s="13" t="s">
        <v>43</v>
      </c>
      <c r="B66" s="33">
        <f>IF(C23=1,(C11*C12*B65)/27,ROUND(C12*B65*(C11-(3*C13))/27,0)+ROUND((0.5*C12*B65*(3*C13))/27,0))</f>
        <v>2222.2222222222222</v>
      </c>
      <c r="E66" s="26"/>
    </row>
    <row r="67" spans="1:5" x14ac:dyDescent="0.25">
      <c r="A67" s="13" t="s">
        <v>45</v>
      </c>
      <c r="B67" s="33">
        <f>IF(C17 = "N", C19, C17)</f>
        <v>7</v>
      </c>
    </row>
    <row r="68" spans="1:5" x14ac:dyDescent="0.25">
      <c r="A68" s="13" t="s">
        <v>44</v>
      </c>
      <c r="B68" s="33">
        <f>B66*B67</f>
        <v>15555.555555555555</v>
      </c>
    </row>
    <row r="69" spans="1:5" x14ac:dyDescent="0.25">
      <c r="A69" s="9" t="s">
        <v>2</v>
      </c>
      <c r="B69" s="33">
        <f>(C29*B66)+(C30*B66)+C44</f>
        <v>4222.2222222222226</v>
      </c>
      <c r="D69" s="9"/>
    </row>
    <row r="70" spans="1:5" x14ac:dyDescent="0.25">
      <c r="A70" s="9" t="s">
        <v>4</v>
      </c>
      <c r="B70" s="33">
        <f>(((B67-C29-1)*B66)+(1-C30)*B66)-C44</f>
        <v>11333.333333333334</v>
      </c>
      <c r="D70" s="9"/>
    </row>
    <row r="71" spans="1:5" x14ac:dyDescent="0.25">
      <c r="A71" s="9" t="s">
        <v>5</v>
      </c>
      <c r="B71" s="35">
        <f>B68/B61/365</f>
        <v>14.615754090405131</v>
      </c>
      <c r="D71" s="9"/>
    </row>
    <row r="72" spans="1:5" x14ac:dyDescent="0.25">
      <c r="A72" s="9" t="s">
        <v>6</v>
      </c>
      <c r="B72" s="35">
        <f>B70/B61/365</f>
        <v>10.648620837295169</v>
      </c>
      <c r="D72" s="9"/>
    </row>
  </sheetData>
  <mergeCells count="8">
    <mergeCell ref="A41:B41"/>
    <mergeCell ref="A42:B42"/>
    <mergeCell ref="A43:B43"/>
    <mergeCell ref="C23:C26"/>
    <mergeCell ref="B24:B26"/>
    <mergeCell ref="A38:B38"/>
    <mergeCell ref="A39:B39"/>
    <mergeCell ref="A40:B40"/>
  </mergeCells>
  <pageMargins left="0.7" right="0.7" top="0.75" bottom="0.75" header="0.3" footer="0.3"/>
  <pageSetup scale="9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1. Area Fill</vt:lpstr>
      <vt:lpstr>2. Bermed Area Fill</vt:lpstr>
      <vt:lpstr>3. Trench and Fill</vt:lpstr>
    </vt:vector>
  </TitlesOfParts>
  <Company>DEC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Blankenburg, Bob</dc:creator>
  <cp:lastModifiedBy>Rebecca Colvin</cp:lastModifiedBy>
  <cp:lastPrinted>2017-04-06T16:58:24Z</cp:lastPrinted>
  <dcterms:created xsi:type="dcterms:W3CDTF">2017-03-13T21:46:09Z</dcterms:created>
  <dcterms:modified xsi:type="dcterms:W3CDTF">2019-03-18T19:24:11Z</dcterms:modified>
</cp:coreProperties>
</file>